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Наличие с ценой" sheetId="1" r:id="rId1"/>
    <sheet name="Прайс на резку труб" sheetId="5" r:id="rId2"/>
    <sheet name="СХЕМА ПРОЕЗДА НА СКЛАД " sheetId="6" r:id="rId3"/>
  </sheets>
  <definedNames>
    <definedName name="_xlnm._FilterDatabase" localSheetId="0" hidden="1">'Наличие с ценой'!$A$13:$F$13</definedName>
  </definedNames>
  <calcPr calcId="145621"/>
</workbook>
</file>

<file path=xl/calcChain.xml><?xml version="1.0" encoding="utf-8"?>
<calcChain xmlns="http://schemas.openxmlformats.org/spreadsheetml/2006/main">
  <c r="F1721" i="1" l="1"/>
  <c r="E1721" i="1"/>
  <c r="E1720" i="1"/>
  <c r="E1719" i="1"/>
  <c r="E1718" i="1"/>
  <c r="E1717" i="1"/>
  <c r="F1716" i="1"/>
  <c r="E1716" i="1"/>
  <c r="F1715" i="1"/>
  <c r="E1715" i="1"/>
  <c r="F1713" i="1"/>
  <c r="F1712" i="1"/>
  <c r="E1712" i="1"/>
  <c r="F1711" i="1"/>
  <c r="E1711" i="1"/>
  <c r="F1710" i="1"/>
  <c r="F1709" i="1"/>
  <c r="E1709" i="1"/>
  <c r="F1708" i="1"/>
  <c r="E1708" i="1"/>
  <c r="F1707" i="1"/>
  <c r="E1707" i="1"/>
  <c r="F1706" i="1"/>
  <c r="E1706" i="1"/>
  <c r="F1705" i="1"/>
  <c r="E1705" i="1"/>
  <c r="E1704" i="1"/>
  <c r="F1703" i="1"/>
  <c r="F1702" i="1"/>
  <c r="E1702" i="1"/>
  <c r="F1701" i="1"/>
  <c r="F1700" i="1"/>
  <c r="F1699" i="1"/>
  <c r="E1699" i="1"/>
  <c r="F1698" i="1"/>
  <c r="E1698" i="1"/>
  <c r="F1697" i="1"/>
  <c r="F1695" i="1"/>
  <c r="E1695" i="1"/>
  <c r="F1694" i="1"/>
  <c r="F1693" i="1"/>
  <c r="F1692" i="1"/>
  <c r="E1692" i="1"/>
  <c r="F1691" i="1"/>
  <c r="F1689" i="1"/>
  <c r="E1689" i="1"/>
  <c r="F1688" i="1"/>
  <c r="F1687" i="1"/>
  <c r="F1686" i="1"/>
  <c r="F1685" i="1"/>
  <c r="F1684" i="1"/>
  <c r="F1683" i="1"/>
  <c r="F1682" i="1"/>
  <c r="F1681" i="1"/>
  <c r="E1681" i="1"/>
  <c r="F1680" i="1"/>
  <c r="F1679" i="1"/>
  <c r="F1678" i="1"/>
  <c r="F1677" i="1"/>
  <c r="E1677" i="1"/>
  <c r="F1676" i="1"/>
  <c r="F1675" i="1"/>
  <c r="E1675" i="1"/>
  <c r="F1674" i="1"/>
  <c r="E1674" i="1"/>
  <c r="F1673" i="1"/>
  <c r="E1673" i="1"/>
  <c r="F1672" i="1"/>
  <c r="F1671" i="1"/>
  <c r="F1670" i="1"/>
  <c r="F1669" i="1"/>
  <c r="E1669" i="1"/>
  <c r="F1668" i="1"/>
  <c r="E1668" i="1"/>
  <c r="F1667" i="1"/>
  <c r="E1667" i="1"/>
  <c r="F1666" i="1"/>
  <c r="E1666" i="1"/>
  <c r="F1665" i="1"/>
  <c r="F1664" i="1"/>
  <c r="F1663" i="1"/>
  <c r="F1662" i="1"/>
  <c r="E1662" i="1"/>
  <c r="F1661" i="1"/>
  <c r="F1660" i="1"/>
  <c r="E1660" i="1"/>
  <c r="F1659" i="1"/>
  <c r="F1658" i="1"/>
  <c r="E1658" i="1"/>
  <c r="F1657" i="1"/>
  <c r="E1657" i="1"/>
  <c r="E1655" i="1"/>
  <c r="E1653" i="1"/>
  <c r="F1652" i="1"/>
  <c r="F1651" i="1"/>
  <c r="F1650" i="1"/>
  <c r="E1650" i="1"/>
  <c r="F1649" i="1"/>
  <c r="F1648" i="1"/>
  <c r="F1646" i="1"/>
  <c r="E1646" i="1"/>
  <c r="F1645" i="1"/>
  <c r="F1644" i="1"/>
  <c r="E1644" i="1"/>
  <c r="F1643" i="1"/>
  <c r="F1641" i="1"/>
  <c r="F1640" i="1"/>
  <c r="F1639" i="1"/>
  <c r="F1638" i="1"/>
  <c r="F1636" i="1"/>
  <c r="F1635" i="1"/>
  <c r="F1633" i="1"/>
  <c r="F1632" i="1"/>
  <c r="F1631" i="1"/>
  <c r="F1630" i="1"/>
  <c r="F1629" i="1"/>
  <c r="F1628" i="1"/>
  <c r="E1628" i="1"/>
  <c r="F1625" i="1"/>
  <c r="E1625" i="1"/>
  <c r="F1624" i="1"/>
  <c r="F1623" i="1"/>
  <c r="E1623" i="1"/>
  <c r="F1622" i="1"/>
  <c r="F1619" i="1"/>
  <c r="E1619" i="1"/>
  <c r="F1618" i="1"/>
  <c r="F1616" i="1"/>
  <c r="E1616" i="1"/>
  <c r="F1613" i="1"/>
  <c r="F1612" i="1"/>
  <c r="E1612" i="1"/>
  <c r="F1610" i="1"/>
  <c r="F1609" i="1"/>
  <c r="F1607" i="1"/>
  <c r="F1606" i="1"/>
  <c r="F1605" i="1"/>
  <c r="E1605" i="1"/>
  <c r="F1604" i="1"/>
  <c r="F1603" i="1"/>
  <c r="F1602" i="1"/>
  <c r="F1601" i="1"/>
  <c r="F1600" i="1"/>
  <c r="F1599" i="1"/>
  <c r="F1598" i="1"/>
  <c r="E1598" i="1"/>
  <c r="F1597" i="1"/>
  <c r="E1597" i="1"/>
  <c r="F1596" i="1"/>
  <c r="F1595" i="1"/>
  <c r="E1595" i="1"/>
  <c r="F1594" i="1"/>
  <c r="E1594" i="1"/>
  <c r="F1593" i="1"/>
  <c r="E1593" i="1"/>
  <c r="F1592" i="1"/>
  <c r="F1590" i="1"/>
  <c r="F1588" i="1"/>
  <c r="E1588" i="1"/>
  <c r="F1587" i="1"/>
  <c r="F1586" i="1"/>
  <c r="E1586" i="1"/>
  <c r="F1585" i="1"/>
  <c r="F1584" i="1"/>
  <c r="F1583" i="1"/>
  <c r="F1582" i="1"/>
  <c r="E1582" i="1"/>
  <c r="F1581" i="1"/>
  <c r="F1580" i="1"/>
  <c r="E1580" i="1"/>
  <c r="F1579" i="1"/>
  <c r="F1578" i="1"/>
  <c r="F1577" i="1"/>
  <c r="F1576" i="1"/>
  <c r="E1576" i="1"/>
  <c r="F1575" i="1"/>
  <c r="F1571" i="1"/>
  <c r="E1571" i="1"/>
  <c r="F1570" i="1"/>
  <c r="E1570" i="1"/>
  <c r="F1569" i="1"/>
  <c r="E1569" i="1"/>
  <c r="F1568" i="1"/>
  <c r="E1568" i="1"/>
  <c r="F1567" i="1"/>
  <c r="E1567" i="1"/>
  <c r="F1566" i="1"/>
  <c r="E1566" i="1"/>
  <c r="F1565" i="1"/>
  <c r="F1564" i="1"/>
  <c r="E1564" i="1"/>
  <c r="F1563" i="1"/>
  <c r="E1561" i="1"/>
  <c r="F1560" i="1"/>
  <c r="E1560" i="1"/>
  <c r="F1559" i="1"/>
  <c r="E1559" i="1"/>
  <c r="F1558" i="1"/>
  <c r="E1558" i="1"/>
  <c r="F1556" i="1"/>
  <c r="F1555" i="1"/>
  <c r="E1555" i="1"/>
  <c r="F1553" i="1"/>
  <c r="E1553" i="1"/>
  <c r="F1552" i="1"/>
  <c r="F1551" i="1"/>
  <c r="F1550" i="1"/>
  <c r="F1549" i="1"/>
  <c r="E1549" i="1"/>
  <c r="F1548" i="1"/>
  <c r="E1548" i="1"/>
  <c r="F1547" i="1"/>
  <c r="E1547" i="1"/>
  <c r="F1546" i="1"/>
  <c r="E1546" i="1"/>
  <c r="F1545" i="1"/>
  <c r="E1545" i="1"/>
  <c r="F1543" i="1"/>
  <c r="F1542" i="1"/>
  <c r="F1541" i="1"/>
  <c r="E1541" i="1"/>
  <c r="F1538" i="1"/>
  <c r="F1537" i="1"/>
  <c r="F1536" i="1"/>
  <c r="F1535" i="1"/>
  <c r="E1535" i="1"/>
  <c r="F1534" i="1"/>
  <c r="E1534" i="1"/>
  <c r="F1533" i="1"/>
  <c r="F1531" i="1"/>
  <c r="F1530" i="1"/>
  <c r="E1530" i="1"/>
  <c r="F1529" i="1"/>
  <c r="E1529" i="1"/>
  <c r="F1526" i="1"/>
  <c r="E1526" i="1"/>
  <c r="F1525" i="1"/>
  <c r="E1525" i="1"/>
  <c r="F1524" i="1"/>
  <c r="E1524" i="1"/>
  <c r="F1520" i="1"/>
  <c r="E1520" i="1"/>
  <c r="F1519" i="1"/>
  <c r="F1518" i="1"/>
  <c r="F1517" i="1"/>
  <c r="E1517" i="1"/>
  <c r="F1516" i="1"/>
  <c r="F1515" i="1"/>
  <c r="E1515" i="1"/>
  <c r="F1514" i="1"/>
  <c r="E1514" i="1"/>
  <c r="F1513" i="1"/>
  <c r="E1513" i="1"/>
  <c r="F1512" i="1"/>
  <c r="E1512" i="1"/>
  <c r="F1511" i="1"/>
  <c r="E1511" i="1"/>
  <c r="E1509" i="1"/>
  <c r="E1506" i="1"/>
  <c r="F1505" i="1"/>
  <c r="F1504" i="1"/>
  <c r="E1504" i="1"/>
  <c r="F1503" i="1"/>
  <c r="E1503" i="1"/>
  <c r="F1502" i="1"/>
  <c r="E1502" i="1"/>
  <c r="F1501" i="1"/>
  <c r="F1500" i="1"/>
  <c r="F1499" i="1"/>
  <c r="E1499" i="1"/>
  <c r="F1498" i="1"/>
  <c r="F1497" i="1"/>
  <c r="E1496" i="1"/>
  <c r="E1495" i="1"/>
  <c r="F1494" i="1"/>
  <c r="F1493" i="1"/>
  <c r="F1492" i="1"/>
  <c r="F1491" i="1"/>
  <c r="E1491" i="1"/>
  <c r="F1490" i="1"/>
  <c r="F1489" i="1"/>
  <c r="F1488" i="1"/>
  <c r="E1488" i="1"/>
  <c r="F1487" i="1"/>
  <c r="F1486" i="1"/>
  <c r="F1485" i="1"/>
  <c r="E1485" i="1"/>
  <c r="F1484" i="1"/>
  <c r="F1483" i="1"/>
  <c r="F1482" i="1"/>
  <c r="F1481" i="1"/>
  <c r="E1481" i="1"/>
  <c r="F1480" i="1"/>
  <c r="E1480" i="1"/>
  <c r="E1477" i="1"/>
  <c r="F1476" i="1"/>
  <c r="E1476" i="1"/>
  <c r="F1475" i="1"/>
  <c r="E1475" i="1"/>
  <c r="E1474" i="1"/>
  <c r="F1471" i="1"/>
  <c r="F1470" i="1"/>
  <c r="E1470" i="1"/>
  <c r="E1467" i="1"/>
  <c r="F1466" i="1"/>
  <c r="E1466" i="1"/>
  <c r="F1465" i="1"/>
  <c r="E1465" i="1"/>
  <c r="F1464" i="1"/>
  <c r="F1463" i="1"/>
  <c r="F1462" i="1"/>
  <c r="F1461" i="1"/>
  <c r="E1461" i="1"/>
  <c r="F1460" i="1"/>
  <c r="E1460" i="1"/>
  <c r="F1459" i="1"/>
  <c r="E1458" i="1"/>
  <c r="F1457" i="1"/>
  <c r="F1456" i="1"/>
  <c r="F1455" i="1"/>
  <c r="E1455" i="1"/>
  <c r="F1453" i="1"/>
  <c r="E1453" i="1"/>
  <c r="F1452" i="1"/>
  <c r="F1451" i="1"/>
  <c r="F1450" i="1"/>
  <c r="F1449" i="1"/>
  <c r="E1449" i="1"/>
  <c r="F1448" i="1"/>
  <c r="E1448" i="1"/>
  <c r="F1447" i="1"/>
  <c r="F1446" i="1"/>
  <c r="E1446" i="1"/>
  <c r="F1444" i="1"/>
  <c r="E1444" i="1"/>
  <c r="F1442" i="1"/>
  <c r="F1441" i="1"/>
  <c r="F1440" i="1"/>
  <c r="F1439" i="1"/>
  <c r="F1438" i="1"/>
  <c r="E1438" i="1"/>
  <c r="F1437" i="1"/>
  <c r="F1435" i="1"/>
  <c r="E1435" i="1"/>
  <c r="F1434" i="1"/>
  <c r="F1433" i="1"/>
  <c r="E1433" i="1"/>
  <c r="F1432" i="1"/>
  <c r="F1431" i="1"/>
  <c r="F1430" i="1"/>
  <c r="E1430" i="1"/>
  <c r="F1429" i="1"/>
  <c r="E1428" i="1"/>
  <c r="F1426" i="1"/>
  <c r="E1426" i="1"/>
  <c r="F1425" i="1"/>
  <c r="F1424" i="1"/>
  <c r="F1423" i="1"/>
  <c r="F1422" i="1"/>
  <c r="F1420" i="1"/>
  <c r="E1420" i="1"/>
  <c r="F1419" i="1"/>
  <c r="E1419" i="1"/>
  <c r="E1418" i="1"/>
  <c r="F1416" i="1"/>
  <c r="E1416" i="1"/>
  <c r="E1415" i="1"/>
  <c r="F1414" i="1"/>
  <c r="F1413" i="1"/>
  <c r="E1413" i="1"/>
  <c r="F1410" i="1"/>
  <c r="E1410" i="1"/>
  <c r="F1406" i="1"/>
  <c r="E1406" i="1"/>
  <c r="F1402" i="1"/>
  <c r="E1402" i="1"/>
  <c r="F1401" i="1"/>
  <c r="E1401" i="1"/>
  <c r="F1400" i="1"/>
  <c r="E1400" i="1"/>
  <c r="F1398" i="1"/>
  <c r="F1397" i="1"/>
  <c r="F1396" i="1"/>
  <c r="E1396" i="1"/>
  <c r="F1395" i="1"/>
  <c r="F1394" i="1"/>
  <c r="E1394" i="1"/>
  <c r="F1392" i="1"/>
  <c r="E1392" i="1"/>
  <c r="F1391" i="1"/>
  <c r="F1390" i="1"/>
  <c r="E1390" i="1"/>
  <c r="F1389" i="1"/>
  <c r="F1388" i="1"/>
  <c r="E1388" i="1"/>
  <c r="F1387" i="1"/>
  <c r="F1386" i="1"/>
  <c r="F1385" i="1"/>
  <c r="F1384" i="1"/>
  <c r="E1384" i="1"/>
  <c r="E1381" i="1"/>
  <c r="F1380" i="1"/>
  <c r="F1379" i="1"/>
  <c r="F1378" i="1"/>
  <c r="E1378" i="1"/>
  <c r="E1377" i="1"/>
  <c r="E1376" i="1"/>
  <c r="F1375" i="1"/>
  <c r="F1374" i="1"/>
  <c r="E1374" i="1"/>
  <c r="F1373" i="1"/>
  <c r="F1372" i="1"/>
  <c r="E1372" i="1"/>
  <c r="F1370" i="1"/>
  <c r="F1369" i="1"/>
  <c r="E1369" i="1"/>
  <c r="F1366" i="1"/>
  <c r="E1366" i="1"/>
  <c r="F1365" i="1"/>
  <c r="F1364" i="1"/>
  <c r="E1362" i="1"/>
  <c r="F1361" i="1"/>
  <c r="E1361" i="1"/>
  <c r="F1360" i="1"/>
  <c r="F1359" i="1"/>
  <c r="F1358" i="1"/>
  <c r="E1358" i="1"/>
  <c r="F1357" i="1"/>
  <c r="E1357" i="1"/>
  <c r="F1356" i="1"/>
  <c r="E1356" i="1"/>
  <c r="F1355" i="1"/>
  <c r="E1355" i="1"/>
  <c r="F1354" i="1"/>
  <c r="E1354" i="1"/>
  <c r="F1353" i="1"/>
  <c r="F1351" i="1"/>
  <c r="F1350" i="1"/>
  <c r="E1350" i="1"/>
  <c r="F1348" i="1"/>
  <c r="E1348" i="1"/>
  <c r="F1347" i="1"/>
  <c r="E1347" i="1"/>
  <c r="F1344" i="1"/>
  <c r="E1344" i="1"/>
  <c r="F1343" i="1"/>
  <c r="E1343" i="1"/>
  <c r="F1342" i="1"/>
  <c r="E1341" i="1"/>
  <c r="E1338" i="1"/>
  <c r="E1337" i="1"/>
  <c r="F1333" i="1"/>
  <c r="F1332" i="1"/>
  <c r="E1332" i="1"/>
  <c r="F1331" i="1"/>
  <c r="E1331" i="1"/>
  <c r="F1330" i="1"/>
  <c r="E1330" i="1"/>
  <c r="F1329" i="1"/>
  <c r="F1328" i="1"/>
  <c r="E1328" i="1"/>
  <c r="E1326" i="1"/>
  <c r="F1325" i="1"/>
  <c r="F1324" i="1"/>
  <c r="E1324" i="1"/>
  <c r="F1323" i="1"/>
  <c r="E1323" i="1"/>
  <c r="F1322" i="1"/>
  <c r="E1322" i="1"/>
  <c r="F1321" i="1"/>
  <c r="F1320" i="1"/>
  <c r="E1318" i="1"/>
  <c r="F1315" i="1"/>
  <c r="E1315" i="1"/>
  <c r="F1314" i="1"/>
  <c r="E1314" i="1"/>
  <c r="F1313" i="1"/>
  <c r="E1313" i="1"/>
  <c r="F1311" i="1"/>
  <c r="E1311" i="1"/>
  <c r="F1309" i="1"/>
  <c r="E1309" i="1"/>
  <c r="F1308" i="1"/>
  <c r="E1308" i="1"/>
  <c r="F1307" i="1"/>
  <c r="F1306" i="1"/>
  <c r="E1306" i="1"/>
  <c r="F1305" i="1"/>
  <c r="E1304" i="1"/>
  <c r="F1302" i="1"/>
  <c r="E1302" i="1"/>
  <c r="E1300" i="1"/>
  <c r="F1298" i="1"/>
  <c r="F1297" i="1"/>
  <c r="E1297" i="1"/>
  <c r="F1296" i="1"/>
  <c r="E1296" i="1"/>
  <c r="F1295" i="1"/>
  <c r="E1295" i="1"/>
  <c r="F1294" i="1"/>
  <c r="F1293" i="1"/>
  <c r="E1293" i="1"/>
  <c r="F1292" i="1"/>
  <c r="F1291" i="1"/>
  <c r="F1290" i="1"/>
  <c r="E1289" i="1"/>
  <c r="F1288" i="1"/>
  <c r="E1288" i="1"/>
  <c r="F1287" i="1"/>
  <c r="F1286" i="1"/>
  <c r="E1286" i="1"/>
  <c r="F1283" i="1"/>
  <c r="E1283" i="1"/>
  <c r="F1282" i="1"/>
  <c r="F1281" i="1"/>
  <c r="E1281" i="1"/>
  <c r="F1279" i="1"/>
  <c r="E1279" i="1"/>
  <c r="F1278" i="1"/>
  <c r="E1278" i="1"/>
  <c r="F1277" i="1"/>
  <c r="F1276" i="1"/>
  <c r="F1275" i="1"/>
  <c r="F1274" i="1"/>
  <c r="E1274" i="1"/>
  <c r="F1273" i="1"/>
  <c r="F1269" i="1"/>
  <c r="E1268" i="1"/>
  <c r="F1267" i="1"/>
  <c r="E1267" i="1"/>
  <c r="F1266" i="1"/>
  <c r="F1265" i="1"/>
  <c r="F1264" i="1"/>
  <c r="E1263" i="1"/>
  <c r="F1262" i="1"/>
  <c r="E1262" i="1"/>
  <c r="F1261" i="1"/>
  <c r="E1261" i="1"/>
  <c r="F1260" i="1"/>
  <c r="F1259" i="1"/>
  <c r="E1258" i="1"/>
  <c r="F1257" i="1"/>
  <c r="E1257" i="1"/>
  <c r="F1256" i="1"/>
  <c r="E1256" i="1"/>
  <c r="F1255" i="1"/>
  <c r="E1255" i="1"/>
  <c r="F1253" i="1"/>
  <c r="E1253" i="1"/>
  <c r="F1252" i="1"/>
  <c r="F1250" i="1"/>
  <c r="E1246" i="1"/>
  <c r="F1244" i="1"/>
  <c r="E1244" i="1"/>
  <c r="F1243" i="1"/>
  <c r="F1242" i="1"/>
  <c r="F1241" i="1"/>
  <c r="E1241" i="1"/>
  <c r="F1239" i="1"/>
  <c r="E1239" i="1"/>
  <c r="F1238" i="1"/>
  <c r="E1238" i="1"/>
  <c r="F1237" i="1"/>
  <c r="E1237" i="1"/>
  <c r="F1236" i="1"/>
  <c r="F1235" i="1"/>
  <c r="E1235" i="1"/>
  <c r="F1234" i="1"/>
  <c r="F1233" i="1"/>
  <c r="F1232" i="1"/>
  <c r="F1231" i="1"/>
  <c r="E1231" i="1"/>
  <c r="F1230" i="1"/>
  <c r="E1230" i="1"/>
  <c r="F1229" i="1"/>
  <c r="E1229" i="1"/>
  <c r="F1228" i="1"/>
  <c r="E1228" i="1"/>
  <c r="F1223" i="1"/>
  <c r="E1223" i="1"/>
  <c r="F1222" i="1"/>
  <c r="E1222" i="1"/>
  <c r="F1221" i="1"/>
  <c r="F1220" i="1"/>
  <c r="F1219" i="1"/>
  <c r="F1218" i="1"/>
  <c r="E1218" i="1"/>
  <c r="F1216" i="1"/>
  <c r="F1215" i="1"/>
  <c r="F1214" i="1"/>
  <c r="E1214" i="1"/>
  <c r="F1213" i="1"/>
  <c r="E1213" i="1"/>
  <c r="F1210" i="1"/>
  <c r="F1209" i="1"/>
  <c r="E1209" i="1"/>
  <c r="F1208" i="1"/>
  <c r="F1207" i="1"/>
  <c r="E1207" i="1"/>
  <c r="F1206" i="1"/>
  <c r="E1206" i="1"/>
  <c r="E1205" i="1"/>
  <c r="E1204" i="1"/>
  <c r="F1203" i="1"/>
  <c r="F1202" i="1"/>
  <c r="E1202" i="1"/>
  <c r="F1201" i="1"/>
  <c r="E1201" i="1"/>
  <c r="F1199" i="1"/>
  <c r="E1199" i="1"/>
  <c r="F1198" i="1"/>
  <c r="E1198" i="1"/>
  <c r="F1196" i="1"/>
  <c r="F1195" i="1"/>
  <c r="E1195" i="1"/>
  <c r="F1194" i="1"/>
  <c r="E1194" i="1"/>
  <c r="F1193" i="1"/>
  <c r="E1193" i="1"/>
  <c r="F1192" i="1"/>
  <c r="E1192" i="1"/>
  <c r="F1191" i="1"/>
  <c r="E1191" i="1"/>
  <c r="F1190" i="1"/>
  <c r="F1189" i="1"/>
  <c r="E1189" i="1"/>
  <c r="F1187" i="1"/>
  <c r="E1187" i="1"/>
  <c r="F1186" i="1"/>
  <c r="E1186" i="1"/>
  <c r="F1185" i="1"/>
  <c r="E1185" i="1"/>
  <c r="F1184" i="1"/>
  <c r="F1183" i="1"/>
  <c r="E1183" i="1"/>
  <c r="F1182" i="1"/>
  <c r="E1182" i="1"/>
  <c r="F1181" i="1"/>
  <c r="F1180" i="1"/>
  <c r="E1180" i="1"/>
  <c r="F1179" i="1"/>
  <c r="F1177" i="1"/>
  <c r="F1176" i="1"/>
  <c r="F1175" i="1"/>
  <c r="E1174" i="1"/>
  <c r="F1173" i="1"/>
  <c r="E1173" i="1"/>
  <c r="F1171" i="1"/>
  <c r="F1170" i="1"/>
  <c r="E1170" i="1"/>
  <c r="F1169" i="1"/>
  <c r="E1169" i="1"/>
  <c r="F1168" i="1"/>
  <c r="E1168" i="1"/>
  <c r="F1167" i="1"/>
  <c r="E1167" i="1"/>
  <c r="F1166" i="1"/>
  <c r="F1165" i="1"/>
  <c r="E1165" i="1"/>
  <c r="F1164" i="1"/>
  <c r="E1164" i="1"/>
  <c r="F1162" i="1"/>
  <c r="E1162" i="1"/>
  <c r="F1161" i="1"/>
  <c r="E1160" i="1"/>
  <c r="F1158" i="1"/>
  <c r="E1158" i="1"/>
  <c r="F1157" i="1"/>
  <c r="F1156" i="1"/>
  <c r="F1155" i="1"/>
  <c r="E1155" i="1"/>
  <c r="E1151" i="1"/>
  <c r="F1150" i="1"/>
  <c r="F1149" i="1"/>
  <c r="E1149" i="1"/>
  <c r="F1147" i="1"/>
  <c r="E1147" i="1"/>
  <c r="F1146" i="1"/>
  <c r="E1146" i="1"/>
  <c r="E1143" i="1"/>
  <c r="E1142" i="1"/>
  <c r="F1141" i="1"/>
  <c r="E1141" i="1"/>
  <c r="F1140" i="1"/>
  <c r="F1139" i="1"/>
  <c r="E1139" i="1"/>
  <c r="F1138" i="1"/>
  <c r="E1138" i="1"/>
  <c r="F1137" i="1"/>
  <c r="E1137" i="1"/>
  <c r="E1136" i="1"/>
  <c r="F1134" i="1"/>
  <c r="E1134" i="1"/>
  <c r="F1133" i="1"/>
  <c r="F1131" i="1"/>
  <c r="E1131" i="1"/>
  <c r="F1130" i="1"/>
  <c r="F1129" i="1"/>
  <c r="F1128" i="1"/>
  <c r="E1128" i="1"/>
  <c r="F1127" i="1"/>
  <c r="E1127" i="1"/>
  <c r="F1126" i="1"/>
  <c r="F1124" i="1"/>
  <c r="E1124" i="1"/>
  <c r="F1123" i="1"/>
  <c r="E1123" i="1"/>
  <c r="F1121" i="1"/>
  <c r="F1120" i="1"/>
  <c r="E1120" i="1"/>
  <c r="F1118" i="1"/>
  <c r="F1117" i="1"/>
  <c r="F1115" i="1"/>
  <c r="E1115" i="1"/>
  <c r="F1114" i="1"/>
  <c r="E1114" i="1"/>
  <c r="F1113" i="1"/>
  <c r="E1113" i="1"/>
  <c r="F1112" i="1"/>
  <c r="F1111" i="1"/>
  <c r="E1111" i="1"/>
  <c r="F1110" i="1"/>
  <c r="F1109" i="1"/>
  <c r="E1109" i="1"/>
  <c r="F1108" i="1"/>
  <c r="E1108" i="1"/>
  <c r="F1107" i="1"/>
  <c r="E1107" i="1"/>
  <c r="F1106" i="1"/>
  <c r="F1105" i="1"/>
  <c r="E1105" i="1"/>
  <c r="F1104" i="1"/>
  <c r="E1102" i="1"/>
  <c r="F1100" i="1"/>
  <c r="F1099" i="1"/>
  <c r="F1097" i="1"/>
  <c r="E1097" i="1"/>
  <c r="F1096" i="1"/>
  <c r="F1095" i="1"/>
  <c r="E1093" i="1"/>
  <c r="F1091" i="1"/>
  <c r="E1091" i="1"/>
  <c r="F1090" i="1"/>
  <c r="E1090" i="1"/>
  <c r="F1089" i="1"/>
  <c r="E1089" i="1"/>
  <c r="F1088" i="1"/>
  <c r="E1088" i="1"/>
  <c r="F1087" i="1"/>
  <c r="F1086" i="1"/>
  <c r="F1085" i="1"/>
  <c r="F1084" i="1"/>
  <c r="F1080" i="1"/>
  <c r="E1080" i="1"/>
  <c r="F1079" i="1"/>
  <c r="E1079" i="1"/>
  <c r="F1078" i="1"/>
  <c r="E1078" i="1"/>
  <c r="F1077" i="1"/>
  <c r="E1077" i="1"/>
  <c r="E1076" i="1"/>
  <c r="F1075" i="1"/>
  <c r="E1075" i="1"/>
  <c r="F1074" i="1"/>
  <c r="E1074" i="1"/>
  <c r="F1072" i="1"/>
  <c r="E1072" i="1"/>
  <c r="F1071" i="1"/>
  <c r="E1071" i="1"/>
  <c r="F1070" i="1"/>
  <c r="F1069" i="1"/>
  <c r="F1068" i="1"/>
  <c r="E1068" i="1"/>
  <c r="F1061" i="1"/>
  <c r="E1061" i="1"/>
  <c r="F1060" i="1"/>
  <c r="E1060" i="1"/>
  <c r="F1059" i="1"/>
  <c r="E1059" i="1"/>
  <c r="F1058" i="1"/>
  <c r="E1058" i="1"/>
  <c r="F1057" i="1"/>
  <c r="E1057" i="1"/>
  <c r="F1056" i="1"/>
  <c r="E1056" i="1"/>
  <c r="F1055" i="1"/>
  <c r="F1054" i="1"/>
  <c r="E1054" i="1"/>
  <c r="F1053" i="1"/>
  <c r="F1052" i="1"/>
  <c r="E1052" i="1"/>
  <c r="F1050" i="1"/>
  <c r="E1050" i="1"/>
  <c r="F1049" i="1"/>
  <c r="E1049" i="1"/>
  <c r="F1048" i="1"/>
  <c r="F1047" i="1"/>
  <c r="F1046" i="1"/>
  <c r="E1046" i="1"/>
  <c r="F1045" i="1"/>
  <c r="E1045" i="1"/>
  <c r="F1044" i="1"/>
  <c r="E1044" i="1"/>
  <c r="F1043" i="1"/>
  <c r="E1043" i="1"/>
  <c r="F1042" i="1"/>
  <c r="E1042" i="1"/>
  <c r="F1041" i="1"/>
  <c r="E1041" i="1"/>
  <c r="F1039" i="1"/>
  <c r="E1039" i="1"/>
  <c r="F1038" i="1"/>
  <c r="E1038" i="1"/>
  <c r="F1037" i="1"/>
  <c r="F1036" i="1"/>
  <c r="E1036" i="1"/>
  <c r="F1035" i="1"/>
  <c r="E1035" i="1"/>
  <c r="F1034" i="1"/>
  <c r="F1033" i="1"/>
  <c r="E1033" i="1"/>
  <c r="F1032" i="1"/>
  <c r="F1031" i="1"/>
  <c r="F1030" i="1"/>
  <c r="F1029" i="1"/>
  <c r="E1029" i="1"/>
  <c r="F1028" i="1"/>
  <c r="F1027" i="1"/>
  <c r="E1027" i="1"/>
  <c r="F1026" i="1"/>
  <c r="E1026" i="1"/>
  <c r="E1025" i="1"/>
  <c r="F1024" i="1"/>
  <c r="E1024" i="1"/>
  <c r="F1022" i="1"/>
  <c r="F1020" i="1"/>
  <c r="F1019" i="1"/>
  <c r="E1019" i="1"/>
  <c r="F1018" i="1"/>
  <c r="E1018" i="1"/>
  <c r="F1017" i="1"/>
  <c r="E1017" i="1"/>
  <c r="F1016" i="1"/>
  <c r="E1016" i="1"/>
  <c r="F1015" i="1"/>
  <c r="E1015" i="1"/>
  <c r="F1013" i="1"/>
  <c r="F1012" i="1"/>
  <c r="E1012" i="1"/>
  <c r="F1010" i="1"/>
  <c r="E1010" i="1"/>
  <c r="F1009" i="1"/>
  <c r="E1009" i="1"/>
  <c r="F1008" i="1"/>
  <c r="E1008" i="1"/>
  <c r="F1007" i="1"/>
  <c r="E1007" i="1"/>
  <c r="F1006" i="1"/>
  <c r="E1006" i="1"/>
  <c r="F1005" i="1"/>
  <c r="F1004" i="1"/>
  <c r="E1004" i="1"/>
  <c r="F1003" i="1"/>
  <c r="F1002" i="1"/>
  <c r="E1002" i="1"/>
  <c r="F1001" i="1"/>
  <c r="F1000" i="1"/>
  <c r="F999" i="1"/>
  <c r="F998" i="1"/>
  <c r="F997" i="1"/>
  <c r="E997" i="1"/>
  <c r="F996" i="1"/>
  <c r="E996" i="1"/>
  <c r="F994" i="1"/>
  <c r="E994" i="1"/>
  <c r="F993" i="1"/>
  <c r="F992" i="1"/>
  <c r="F991" i="1"/>
  <c r="E991" i="1"/>
  <c r="F990" i="1"/>
  <c r="F989" i="1"/>
  <c r="E989" i="1"/>
  <c r="F988" i="1"/>
  <c r="E988" i="1"/>
  <c r="F987" i="1"/>
  <c r="E987" i="1"/>
  <c r="F986" i="1"/>
  <c r="E986" i="1"/>
  <c r="F985" i="1"/>
  <c r="F983" i="1"/>
  <c r="F982" i="1"/>
  <c r="F980" i="1"/>
  <c r="F979" i="1"/>
  <c r="F978" i="1"/>
  <c r="F977" i="1"/>
  <c r="E977" i="1"/>
  <c r="F975" i="1"/>
  <c r="E975" i="1"/>
  <c r="F974" i="1"/>
  <c r="F973" i="1"/>
  <c r="F972" i="1"/>
  <c r="F970" i="1"/>
  <c r="E970" i="1"/>
  <c r="F969" i="1"/>
  <c r="F968" i="1"/>
  <c r="F967" i="1"/>
  <c r="F966" i="1"/>
  <c r="E966" i="1"/>
  <c r="F965" i="1"/>
  <c r="F964" i="1"/>
  <c r="E964" i="1"/>
  <c r="F963" i="1"/>
  <c r="E963" i="1"/>
  <c r="F962" i="1"/>
  <c r="F961" i="1"/>
  <c r="E961" i="1"/>
  <c r="F960" i="1"/>
  <c r="E960" i="1"/>
  <c r="F959" i="1"/>
  <c r="E959" i="1"/>
  <c r="F958" i="1"/>
  <c r="E958" i="1"/>
  <c r="F957" i="1"/>
  <c r="E957" i="1"/>
  <c r="F956" i="1"/>
  <c r="F955" i="1"/>
  <c r="F954" i="1"/>
  <c r="E954" i="1"/>
  <c r="F953" i="1"/>
  <c r="E953" i="1"/>
  <c r="F952" i="1"/>
  <c r="E952" i="1"/>
  <c r="F951" i="1"/>
  <c r="E951" i="1"/>
  <c r="F950" i="1"/>
  <c r="E950" i="1"/>
  <c r="F948" i="1"/>
  <c r="E948" i="1"/>
  <c r="F947" i="1"/>
  <c r="E947" i="1"/>
  <c r="F946" i="1"/>
  <c r="F945" i="1"/>
  <c r="F944" i="1"/>
  <c r="F942" i="1"/>
  <c r="F941" i="1"/>
  <c r="F940" i="1"/>
  <c r="F939" i="1"/>
  <c r="F938" i="1"/>
  <c r="F937" i="1"/>
  <c r="E937" i="1"/>
  <c r="F936" i="1"/>
  <c r="E936" i="1"/>
  <c r="F935" i="1"/>
  <c r="E935" i="1"/>
  <c r="F934" i="1"/>
  <c r="E934" i="1"/>
  <c r="F933" i="1"/>
  <c r="E933" i="1"/>
  <c r="F932" i="1"/>
  <c r="F930" i="1"/>
  <c r="F929" i="1"/>
  <c r="F928" i="1"/>
  <c r="F927" i="1"/>
  <c r="E927" i="1"/>
  <c r="F925" i="1"/>
  <c r="E925" i="1"/>
  <c r="F924" i="1"/>
  <c r="E924" i="1"/>
  <c r="F923" i="1"/>
  <c r="F922" i="1"/>
  <c r="E922" i="1"/>
  <c r="F921" i="1"/>
  <c r="E919" i="1"/>
  <c r="E918" i="1"/>
  <c r="F916" i="1"/>
  <c r="E916" i="1"/>
  <c r="F915" i="1"/>
  <c r="E915" i="1"/>
  <c r="F914" i="1"/>
  <c r="E914" i="1"/>
  <c r="F913" i="1"/>
  <c r="F912" i="1"/>
  <c r="F911" i="1"/>
  <c r="E911" i="1"/>
  <c r="E908" i="1"/>
  <c r="F906" i="1"/>
  <c r="E906" i="1"/>
  <c r="F905" i="1"/>
  <c r="E905" i="1"/>
  <c r="F904" i="1"/>
  <c r="E904" i="1"/>
  <c r="F903" i="1"/>
  <c r="E903" i="1"/>
  <c r="F902" i="1"/>
  <c r="F901" i="1"/>
  <c r="F900" i="1"/>
  <c r="F899" i="1"/>
  <c r="F898" i="1"/>
  <c r="E898" i="1"/>
  <c r="F897" i="1"/>
  <c r="E897" i="1"/>
  <c r="F896" i="1"/>
  <c r="F895" i="1"/>
  <c r="E894" i="1"/>
  <c r="F893" i="1"/>
  <c r="E893" i="1"/>
  <c r="F890" i="1"/>
  <c r="E890" i="1"/>
  <c r="F888" i="1"/>
  <c r="F887" i="1"/>
  <c r="F885" i="1"/>
  <c r="F884" i="1"/>
  <c r="E884" i="1"/>
  <c r="F883" i="1"/>
  <c r="F882" i="1"/>
  <c r="E882" i="1"/>
  <c r="F881" i="1"/>
  <c r="F880" i="1"/>
  <c r="F879" i="1"/>
  <c r="F878" i="1"/>
  <c r="E878" i="1"/>
  <c r="F877" i="1"/>
  <c r="F876" i="1"/>
  <c r="F875" i="1"/>
  <c r="F874" i="1"/>
  <c r="F873" i="1"/>
  <c r="E873" i="1"/>
  <c r="F872" i="1"/>
  <c r="F871" i="1"/>
  <c r="F870" i="1"/>
  <c r="E870" i="1"/>
  <c r="F869" i="1"/>
  <c r="E869" i="1"/>
  <c r="F868" i="1"/>
  <c r="F867" i="1"/>
  <c r="E867" i="1"/>
  <c r="F865" i="1"/>
  <c r="F864" i="1"/>
  <c r="F863" i="1"/>
  <c r="E863" i="1"/>
  <c r="F862" i="1"/>
  <c r="F861" i="1"/>
  <c r="E861" i="1"/>
  <c r="F860" i="1"/>
  <c r="E860" i="1"/>
  <c r="F859" i="1"/>
  <c r="E859" i="1"/>
  <c r="F858" i="1"/>
  <c r="F857" i="1"/>
  <c r="F856" i="1"/>
  <c r="E856" i="1"/>
  <c r="F855" i="1"/>
  <c r="E855" i="1"/>
  <c r="F854" i="1"/>
  <c r="E854" i="1"/>
  <c r="F853" i="1"/>
  <c r="F852" i="1"/>
  <c r="E852" i="1"/>
  <c r="F851" i="1"/>
  <c r="F850" i="1"/>
  <c r="F849" i="1"/>
  <c r="F848" i="1"/>
  <c r="F847" i="1"/>
  <c r="E847" i="1"/>
  <c r="F846" i="1"/>
  <c r="E846" i="1"/>
  <c r="F845" i="1"/>
  <c r="F844" i="1"/>
  <c r="E844" i="1"/>
  <c r="F843" i="1"/>
  <c r="F842" i="1"/>
  <c r="F841" i="1"/>
  <c r="F840" i="1"/>
  <c r="F839" i="1"/>
  <c r="F838" i="1"/>
  <c r="F836" i="1"/>
  <c r="E836" i="1"/>
  <c r="F835" i="1"/>
  <c r="E835" i="1"/>
  <c r="F834" i="1"/>
  <c r="E834" i="1"/>
  <c r="F833" i="1"/>
  <c r="E833" i="1"/>
  <c r="F832" i="1"/>
  <c r="F831" i="1"/>
  <c r="F830" i="1"/>
  <c r="E830" i="1"/>
  <c r="F829" i="1"/>
  <c r="E829" i="1"/>
  <c r="F828" i="1"/>
  <c r="E828" i="1"/>
  <c r="F827" i="1"/>
  <c r="F826" i="1"/>
  <c r="F825" i="1"/>
  <c r="F824" i="1"/>
  <c r="E824" i="1"/>
  <c r="F823" i="1"/>
  <c r="E823" i="1"/>
  <c r="F822" i="1"/>
  <c r="F821" i="1"/>
  <c r="F820" i="1"/>
  <c r="E820" i="1"/>
  <c r="F819" i="1"/>
  <c r="F818" i="1"/>
  <c r="E818" i="1"/>
  <c r="F817" i="1"/>
  <c r="E817" i="1"/>
  <c r="F816" i="1"/>
  <c r="F815" i="1"/>
  <c r="E815" i="1"/>
  <c r="F814" i="1"/>
  <c r="F813" i="1"/>
  <c r="F812" i="1"/>
  <c r="F811" i="1"/>
  <c r="F810" i="1"/>
  <c r="E810" i="1"/>
  <c r="F809" i="1"/>
  <c r="F808" i="1"/>
  <c r="E808" i="1"/>
  <c r="F807" i="1"/>
  <c r="F806" i="1"/>
  <c r="E806" i="1"/>
  <c r="F805" i="1"/>
  <c r="E805" i="1"/>
  <c r="F803" i="1"/>
  <c r="E803" i="1"/>
  <c r="F802" i="1"/>
  <c r="F801" i="1"/>
  <c r="F800" i="1"/>
  <c r="E800" i="1"/>
  <c r="F799" i="1"/>
  <c r="E799" i="1"/>
  <c r="F798" i="1"/>
  <c r="E798" i="1"/>
  <c r="F797" i="1"/>
  <c r="F796" i="1"/>
  <c r="E796" i="1"/>
  <c r="F794" i="1"/>
  <c r="F793" i="1"/>
  <c r="F792" i="1"/>
  <c r="F791" i="1"/>
  <c r="E791" i="1"/>
  <c r="F790" i="1"/>
  <c r="E788" i="1"/>
  <c r="F787" i="1"/>
  <c r="F786" i="1"/>
  <c r="E786" i="1"/>
  <c r="F785" i="1"/>
  <c r="F784" i="1"/>
  <c r="E784" i="1"/>
  <c r="F783" i="1"/>
  <c r="F782" i="1"/>
  <c r="E782" i="1"/>
  <c r="F781" i="1"/>
  <c r="F780" i="1"/>
  <c r="F779" i="1"/>
  <c r="E779" i="1"/>
  <c r="F778" i="1"/>
  <c r="F777" i="1"/>
  <c r="E777" i="1"/>
  <c r="F776" i="1"/>
  <c r="E776" i="1"/>
  <c r="F775" i="1"/>
  <c r="F774" i="1"/>
  <c r="E774" i="1"/>
  <c r="F773" i="1"/>
  <c r="F772" i="1"/>
  <c r="F771" i="1"/>
  <c r="F770" i="1"/>
  <c r="E770" i="1"/>
  <c r="F769" i="1"/>
  <c r="E769" i="1"/>
  <c r="F768" i="1"/>
  <c r="F767" i="1"/>
  <c r="F766" i="1"/>
  <c r="E766" i="1"/>
  <c r="F765" i="1"/>
  <c r="E765" i="1"/>
  <c r="F764" i="1"/>
  <c r="F763" i="1"/>
  <c r="F762" i="1"/>
  <c r="F761" i="1"/>
  <c r="F760" i="1"/>
  <c r="E760" i="1"/>
  <c r="F759" i="1"/>
  <c r="F757" i="1"/>
  <c r="E757" i="1"/>
  <c r="F756" i="1"/>
  <c r="E756" i="1"/>
  <c r="F755" i="1"/>
  <c r="F754" i="1"/>
  <c r="E754" i="1"/>
  <c r="F753" i="1"/>
  <c r="E753" i="1"/>
  <c r="F752" i="1"/>
  <c r="E752" i="1"/>
  <c r="F751" i="1"/>
  <c r="E751" i="1"/>
  <c r="F750" i="1"/>
  <c r="E750" i="1"/>
  <c r="F749" i="1"/>
  <c r="F748" i="1"/>
  <c r="E748" i="1"/>
  <c r="F746" i="1"/>
  <c r="F745" i="1"/>
  <c r="F743" i="1"/>
  <c r="E743" i="1"/>
  <c r="F742" i="1"/>
  <c r="F741" i="1"/>
  <c r="F740" i="1"/>
  <c r="E740" i="1"/>
  <c r="F739" i="1"/>
  <c r="E739" i="1"/>
  <c r="F738" i="1"/>
  <c r="F737" i="1"/>
  <c r="F736" i="1"/>
  <c r="F735" i="1"/>
  <c r="F734" i="1"/>
  <c r="E734" i="1"/>
  <c r="F733" i="1"/>
  <c r="E733" i="1"/>
  <c r="F731" i="1"/>
  <c r="E731" i="1"/>
  <c r="F730" i="1"/>
  <c r="F729" i="1"/>
  <c r="F728" i="1"/>
  <c r="F727" i="1"/>
  <c r="F726" i="1"/>
  <c r="F725" i="1"/>
  <c r="E725" i="1"/>
  <c r="F724" i="1"/>
  <c r="F723" i="1"/>
  <c r="E723" i="1"/>
  <c r="F722" i="1"/>
  <c r="E722" i="1"/>
  <c r="F721" i="1"/>
  <c r="F720" i="1"/>
  <c r="F719" i="1"/>
  <c r="F718" i="1"/>
  <c r="F717" i="1"/>
  <c r="E717" i="1"/>
  <c r="F716" i="1"/>
  <c r="E716" i="1"/>
  <c r="F715" i="1"/>
  <c r="F714" i="1"/>
  <c r="F713" i="1"/>
  <c r="E713" i="1"/>
  <c r="F712" i="1"/>
  <c r="F711" i="1"/>
  <c r="F710" i="1"/>
  <c r="E710" i="1"/>
  <c r="F709" i="1"/>
  <c r="F708" i="1"/>
  <c r="E708" i="1"/>
  <c r="F707" i="1"/>
  <c r="F706" i="1"/>
  <c r="E706" i="1"/>
  <c r="F705" i="1"/>
  <c r="E705" i="1"/>
  <c r="F704" i="1"/>
  <c r="E704" i="1"/>
  <c r="F703" i="1"/>
  <c r="F702" i="1"/>
  <c r="F701" i="1"/>
  <c r="E701" i="1"/>
  <c r="F700" i="1"/>
  <c r="E700" i="1"/>
  <c r="F699" i="1"/>
  <c r="E699" i="1"/>
  <c r="F698" i="1"/>
  <c r="F697" i="1"/>
  <c r="F696" i="1"/>
  <c r="E696" i="1"/>
  <c r="F695" i="1"/>
  <c r="E695" i="1"/>
  <c r="F694" i="1"/>
  <c r="F693" i="1"/>
  <c r="F692" i="1"/>
  <c r="E692" i="1"/>
  <c r="F691" i="1"/>
  <c r="E691" i="1"/>
  <c r="F690" i="1"/>
  <c r="E690" i="1"/>
  <c r="F688" i="1"/>
  <c r="E688" i="1"/>
  <c r="F687" i="1"/>
  <c r="E687" i="1"/>
  <c r="F686" i="1"/>
  <c r="E686" i="1"/>
  <c r="F685" i="1"/>
  <c r="E685" i="1"/>
  <c r="F684" i="1"/>
  <c r="F683" i="1"/>
  <c r="E683" i="1"/>
  <c r="F682" i="1"/>
  <c r="E682" i="1"/>
  <c r="F681" i="1"/>
  <c r="E681" i="1"/>
  <c r="F680" i="1"/>
  <c r="E680" i="1"/>
  <c r="F679" i="1"/>
  <c r="F678" i="1"/>
  <c r="E678" i="1"/>
  <c r="F677" i="1"/>
  <c r="E677" i="1"/>
  <c r="F676" i="1"/>
  <c r="F675" i="1"/>
  <c r="E675" i="1"/>
  <c r="F674" i="1"/>
  <c r="E674" i="1"/>
  <c r="F672" i="1"/>
  <c r="F671" i="1"/>
  <c r="F670" i="1"/>
  <c r="E670" i="1"/>
  <c r="F669" i="1"/>
  <c r="E669" i="1"/>
  <c r="F668" i="1"/>
  <c r="F667" i="1"/>
  <c r="E667" i="1"/>
  <c r="F666" i="1"/>
  <c r="F665" i="1"/>
  <c r="F663" i="1"/>
  <c r="F662" i="1"/>
  <c r="E662" i="1"/>
  <c r="E661" i="1"/>
  <c r="F658" i="1"/>
  <c r="E658" i="1"/>
  <c r="F657" i="1"/>
  <c r="F656" i="1"/>
  <c r="F655" i="1"/>
  <c r="F654" i="1"/>
  <c r="F653" i="1"/>
  <c r="F652" i="1"/>
  <c r="F651" i="1"/>
  <c r="F650" i="1"/>
  <c r="F649" i="1"/>
  <c r="E649" i="1"/>
  <c r="F648" i="1"/>
  <c r="E648" i="1"/>
  <c r="F647" i="1"/>
  <c r="F646" i="1"/>
  <c r="E646" i="1"/>
  <c r="F645" i="1"/>
  <c r="E645" i="1"/>
  <c r="F644" i="1"/>
  <c r="F643" i="1"/>
  <c r="E643" i="1"/>
  <c r="F642" i="1"/>
  <c r="F641" i="1"/>
  <c r="F640" i="1"/>
  <c r="E640" i="1"/>
  <c r="F638" i="1"/>
  <c r="F637" i="1"/>
  <c r="E637" i="1"/>
  <c r="F635" i="1"/>
  <c r="E635" i="1"/>
  <c r="F634" i="1"/>
  <c r="E634" i="1"/>
  <c r="F633" i="1"/>
  <c r="E633" i="1"/>
  <c r="F632" i="1"/>
  <c r="E632" i="1"/>
  <c r="F631" i="1"/>
  <c r="F630" i="1"/>
  <c r="E630" i="1"/>
  <c r="F627" i="1"/>
  <c r="E627" i="1"/>
  <c r="F626" i="1"/>
  <c r="E626" i="1"/>
  <c r="F623" i="1"/>
  <c r="F622" i="1"/>
  <c r="F621" i="1"/>
  <c r="E621" i="1"/>
  <c r="F620" i="1"/>
  <c r="F619" i="1"/>
  <c r="F618" i="1"/>
  <c r="F617" i="1"/>
  <c r="E617" i="1"/>
  <c r="F616" i="1"/>
  <c r="E616" i="1"/>
  <c r="F615" i="1"/>
  <c r="F614" i="1"/>
  <c r="E614" i="1"/>
  <c r="F613" i="1"/>
  <c r="E613" i="1"/>
  <c r="F609" i="1"/>
  <c r="E609" i="1"/>
  <c r="F606" i="1"/>
  <c r="F605" i="1"/>
  <c r="E605" i="1"/>
  <c r="F604" i="1"/>
  <c r="F602" i="1"/>
  <c r="F601" i="1"/>
  <c r="E601" i="1"/>
  <c r="F598" i="1"/>
  <c r="F597" i="1"/>
  <c r="F596" i="1"/>
  <c r="F595" i="1"/>
  <c r="E595" i="1"/>
  <c r="F594" i="1"/>
  <c r="E594" i="1"/>
  <c r="F593" i="1"/>
  <c r="E593" i="1"/>
  <c r="F592" i="1"/>
  <c r="E592" i="1"/>
  <c r="F591" i="1"/>
  <c r="F590" i="1"/>
  <c r="F589" i="1"/>
  <c r="E589" i="1"/>
  <c r="F588" i="1"/>
  <c r="F587" i="1"/>
  <c r="E587" i="1"/>
  <c r="F586" i="1"/>
  <c r="E586" i="1"/>
  <c r="F585" i="1"/>
  <c r="F584" i="1"/>
  <c r="F583" i="1"/>
  <c r="F582" i="1"/>
  <c r="F581" i="1"/>
  <c r="E581" i="1"/>
  <c r="F580" i="1"/>
  <c r="F579" i="1"/>
  <c r="F578" i="1"/>
  <c r="E578" i="1"/>
  <c r="F577" i="1"/>
  <c r="F576" i="1"/>
  <c r="E576" i="1"/>
  <c r="F575" i="1"/>
  <c r="E575" i="1"/>
  <c r="F574" i="1"/>
  <c r="E574" i="1"/>
  <c r="F573" i="1"/>
  <c r="F572" i="1"/>
  <c r="F571" i="1"/>
  <c r="E571" i="1"/>
  <c r="F570" i="1"/>
  <c r="E570" i="1"/>
  <c r="F568" i="1"/>
  <c r="F567" i="1"/>
  <c r="E567" i="1"/>
  <c r="F566" i="1"/>
  <c r="F565" i="1"/>
  <c r="F564" i="1"/>
  <c r="E564" i="1"/>
  <c r="F563" i="1"/>
  <c r="F562" i="1"/>
  <c r="F560" i="1"/>
  <c r="E560" i="1"/>
  <c r="F559" i="1"/>
  <c r="E559" i="1"/>
  <c r="F558" i="1"/>
  <c r="F557" i="1"/>
  <c r="E557" i="1"/>
  <c r="F556" i="1"/>
  <c r="F555" i="1"/>
  <c r="E555" i="1"/>
  <c r="F554" i="1"/>
  <c r="E554" i="1"/>
  <c r="F553" i="1"/>
  <c r="E553" i="1"/>
  <c r="F552" i="1"/>
  <c r="F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F543" i="1"/>
  <c r="E543" i="1"/>
  <c r="F542" i="1"/>
  <c r="F541" i="1"/>
  <c r="E541" i="1"/>
  <c r="F540" i="1"/>
  <c r="F538" i="1"/>
  <c r="F537" i="1"/>
  <c r="F536" i="1"/>
  <c r="F535" i="1"/>
  <c r="F534" i="1"/>
  <c r="F533" i="1"/>
  <c r="E533" i="1"/>
  <c r="F532" i="1"/>
  <c r="F531" i="1"/>
  <c r="F530" i="1"/>
  <c r="E530" i="1"/>
  <c r="F529" i="1"/>
  <c r="F528" i="1"/>
  <c r="F527" i="1"/>
  <c r="E527" i="1"/>
  <c r="F526" i="1"/>
  <c r="F525" i="1"/>
  <c r="E525" i="1"/>
  <c r="F524" i="1"/>
  <c r="F523" i="1"/>
  <c r="F522" i="1"/>
  <c r="F521" i="1"/>
  <c r="F520" i="1"/>
  <c r="F519" i="1"/>
  <c r="E519" i="1"/>
  <c r="F518" i="1"/>
  <c r="E518" i="1"/>
  <c r="F517" i="1"/>
  <c r="E517" i="1"/>
  <c r="F516" i="1"/>
  <c r="F515" i="1"/>
  <c r="F514" i="1"/>
  <c r="E514" i="1"/>
  <c r="F513" i="1"/>
  <c r="E513" i="1"/>
  <c r="F512" i="1"/>
  <c r="E512" i="1"/>
  <c r="F511" i="1"/>
  <c r="F509" i="1"/>
  <c r="F508" i="1"/>
  <c r="F507" i="1"/>
  <c r="E507" i="1"/>
  <c r="F506" i="1"/>
  <c r="F505" i="1"/>
  <c r="F504" i="1"/>
  <c r="F502" i="1"/>
  <c r="E502" i="1"/>
  <c r="F501" i="1"/>
  <c r="E501" i="1"/>
  <c r="F500" i="1"/>
  <c r="E500" i="1"/>
  <c r="F499" i="1"/>
  <c r="E499" i="1"/>
  <c r="F498" i="1"/>
  <c r="F497" i="1"/>
  <c r="E497" i="1"/>
  <c r="F496" i="1"/>
  <c r="E496" i="1"/>
  <c r="F495" i="1"/>
  <c r="F494" i="1"/>
  <c r="E494" i="1"/>
  <c r="F493" i="1"/>
  <c r="E493" i="1"/>
  <c r="F491" i="1"/>
  <c r="E491" i="1"/>
  <c r="F490" i="1"/>
  <c r="E490" i="1"/>
  <c r="E489" i="1"/>
  <c r="F486" i="1"/>
  <c r="E486" i="1"/>
  <c r="F485" i="1"/>
  <c r="F484" i="1"/>
  <c r="E484" i="1"/>
  <c r="F483" i="1"/>
  <c r="F482" i="1"/>
  <c r="E482" i="1"/>
  <c r="F481" i="1"/>
  <c r="E481" i="1"/>
  <c r="F480" i="1"/>
  <c r="E480" i="1"/>
  <c r="E478" i="1"/>
  <c r="F477" i="1"/>
  <c r="F476" i="1"/>
  <c r="F475" i="1"/>
  <c r="F473" i="1"/>
  <c r="E473" i="1"/>
  <c r="F472" i="1"/>
  <c r="F471" i="1"/>
  <c r="E471" i="1"/>
  <c r="F470" i="1"/>
  <c r="E470" i="1"/>
  <c r="F469" i="1"/>
  <c r="F468" i="1"/>
  <c r="E468" i="1"/>
  <c r="F465" i="1"/>
  <c r="E465" i="1"/>
  <c r="F464" i="1"/>
  <c r="E464" i="1"/>
  <c r="F463" i="1"/>
  <c r="F462" i="1"/>
  <c r="F461" i="1"/>
  <c r="F459" i="1"/>
  <c r="E459" i="1"/>
  <c r="F458" i="1"/>
  <c r="E457" i="1"/>
  <c r="F456" i="1"/>
  <c r="F455" i="1"/>
  <c r="E455" i="1"/>
  <c r="F454" i="1"/>
  <c r="F453" i="1"/>
  <c r="E453" i="1"/>
  <c r="F452" i="1"/>
  <c r="E452" i="1"/>
  <c r="F450" i="1"/>
  <c r="F449" i="1"/>
  <c r="F448" i="1"/>
  <c r="F447" i="1"/>
  <c r="E447" i="1"/>
  <c r="F446" i="1"/>
  <c r="E446" i="1"/>
  <c r="F445" i="1"/>
  <c r="F443" i="1"/>
  <c r="E443" i="1"/>
  <c r="F442" i="1"/>
  <c r="F441" i="1"/>
  <c r="F440" i="1"/>
  <c r="F439" i="1"/>
  <c r="E439" i="1"/>
  <c r="F438" i="1"/>
  <c r="F436" i="1"/>
  <c r="E436" i="1"/>
  <c r="F435" i="1"/>
  <c r="F434" i="1"/>
  <c r="E434" i="1"/>
  <c r="F433" i="1"/>
  <c r="F432" i="1"/>
  <c r="E432" i="1"/>
  <c r="F431" i="1"/>
  <c r="F429" i="1"/>
  <c r="F428" i="1"/>
  <c r="F427" i="1"/>
  <c r="E427" i="1"/>
  <c r="F426" i="1"/>
  <c r="E426" i="1"/>
  <c r="F425" i="1"/>
  <c r="E425" i="1"/>
  <c r="F424" i="1"/>
  <c r="F423" i="1"/>
  <c r="F422" i="1"/>
  <c r="F421" i="1"/>
  <c r="E421" i="1"/>
  <c r="F420" i="1"/>
  <c r="F419" i="1"/>
  <c r="F418" i="1"/>
  <c r="E418" i="1"/>
  <c r="F417" i="1"/>
  <c r="F416" i="1"/>
  <c r="E416" i="1"/>
  <c r="F415" i="1"/>
  <c r="E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E403" i="1"/>
  <c r="F402" i="1"/>
  <c r="F401" i="1"/>
  <c r="E401" i="1"/>
  <c r="F400" i="1"/>
  <c r="F399" i="1"/>
  <c r="E399" i="1"/>
  <c r="F398" i="1"/>
  <c r="E398" i="1"/>
  <c r="F397" i="1"/>
  <c r="F396" i="1"/>
  <c r="E396" i="1"/>
  <c r="F395" i="1"/>
  <c r="E395" i="1"/>
  <c r="F394" i="1"/>
  <c r="E394" i="1"/>
  <c r="F393" i="1"/>
  <c r="E393" i="1"/>
  <c r="F392" i="1"/>
  <c r="F391" i="1"/>
  <c r="F390" i="1"/>
  <c r="F389" i="1"/>
  <c r="E389" i="1"/>
  <c r="F388" i="1"/>
  <c r="E388" i="1"/>
  <c r="F387" i="1"/>
  <c r="E387" i="1"/>
  <c r="F386" i="1"/>
  <c r="E386" i="1"/>
  <c r="F385" i="1"/>
  <c r="F384" i="1"/>
  <c r="F383" i="1"/>
  <c r="E383" i="1"/>
  <c r="F382" i="1"/>
  <c r="E382" i="1"/>
  <c r="F381" i="1"/>
  <c r="F380" i="1"/>
  <c r="E380" i="1"/>
  <c r="F379" i="1"/>
  <c r="E379" i="1"/>
  <c r="F378" i="1"/>
  <c r="F377" i="1"/>
  <c r="E377" i="1"/>
  <c r="F376" i="1"/>
  <c r="E376" i="1"/>
  <c r="F375" i="1"/>
  <c r="F373" i="1"/>
  <c r="F372" i="1"/>
  <c r="F371" i="1"/>
  <c r="E371" i="1"/>
  <c r="F370" i="1"/>
  <c r="F369" i="1"/>
  <c r="F367" i="1"/>
  <c r="E367" i="1"/>
  <c r="F366" i="1"/>
  <c r="F365" i="1"/>
  <c r="F364" i="1"/>
  <c r="F363" i="1"/>
  <c r="F362" i="1"/>
  <c r="F361" i="1"/>
  <c r="F360" i="1"/>
  <c r="E360" i="1"/>
  <c r="F359" i="1"/>
  <c r="F358" i="1"/>
  <c r="F357" i="1"/>
  <c r="E357" i="1"/>
  <c r="F356" i="1"/>
  <c r="F354" i="1"/>
  <c r="E354" i="1"/>
  <c r="F353" i="1"/>
  <c r="E353" i="1"/>
  <c r="F352" i="1"/>
  <c r="F351" i="1"/>
  <c r="F350" i="1"/>
  <c r="F349" i="1"/>
  <c r="E349" i="1"/>
  <c r="F348" i="1"/>
  <c r="F347" i="1"/>
  <c r="F345" i="1"/>
  <c r="E345" i="1"/>
  <c r="F344" i="1"/>
  <c r="F343" i="1"/>
  <c r="E343" i="1"/>
  <c r="F342" i="1"/>
  <c r="E342" i="1"/>
  <c r="F341" i="1"/>
  <c r="F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F331" i="1"/>
  <c r="F330" i="1"/>
  <c r="E329" i="1"/>
  <c r="F328" i="1"/>
  <c r="E328" i="1"/>
  <c r="F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F319" i="1"/>
  <c r="E319" i="1"/>
  <c r="F318" i="1"/>
  <c r="E318" i="1"/>
  <c r="F316" i="1"/>
  <c r="F315" i="1"/>
  <c r="E315" i="1"/>
  <c r="F314" i="1"/>
  <c r="F313" i="1"/>
  <c r="F310" i="1"/>
  <c r="E310" i="1"/>
  <c r="F309" i="1"/>
  <c r="E309" i="1"/>
  <c r="F308" i="1"/>
  <c r="F307" i="1"/>
  <c r="F306" i="1"/>
  <c r="F305" i="1"/>
  <c r="E305" i="1"/>
  <c r="F304" i="1"/>
  <c r="F303" i="1"/>
  <c r="F302" i="1"/>
  <c r="F301" i="1"/>
  <c r="F300" i="1"/>
  <c r="F299" i="1"/>
  <c r="F298" i="1"/>
  <c r="F297" i="1"/>
  <c r="E297" i="1"/>
  <c r="F296" i="1"/>
  <c r="F295" i="1"/>
  <c r="F294" i="1"/>
  <c r="F293" i="1"/>
  <c r="F292" i="1"/>
  <c r="F291" i="1"/>
  <c r="F290" i="1"/>
  <c r="E290" i="1"/>
  <c r="F289" i="1"/>
  <c r="E289" i="1"/>
  <c r="F288" i="1"/>
  <c r="E288" i="1"/>
  <c r="F287" i="1"/>
  <c r="F286" i="1"/>
  <c r="E286" i="1"/>
  <c r="F285" i="1"/>
  <c r="E285" i="1"/>
  <c r="F284" i="1"/>
  <c r="F283" i="1"/>
  <c r="E283" i="1"/>
  <c r="F282" i="1"/>
  <c r="F281" i="1"/>
  <c r="E281" i="1"/>
  <c r="F280" i="1"/>
  <c r="F279" i="1"/>
  <c r="F277" i="1"/>
  <c r="E277" i="1"/>
  <c r="F276" i="1"/>
  <c r="E276" i="1"/>
  <c r="F275" i="1"/>
  <c r="E275" i="1"/>
  <c r="E274" i="1"/>
  <c r="F273" i="1"/>
  <c r="F272" i="1"/>
  <c r="F271" i="1"/>
  <c r="E271" i="1"/>
  <c r="F268" i="1"/>
  <c r="E268" i="1"/>
  <c r="F267" i="1"/>
  <c r="E267" i="1"/>
  <c r="F266" i="1"/>
  <c r="E266" i="1"/>
  <c r="E265" i="1"/>
  <c r="F264" i="1"/>
  <c r="E264" i="1"/>
  <c r="F263" i="1"/>
  <c r="F262" i="1"/>
  <c r="F261" i="1"/>
  <c r="F260" i="1"/>
  <c r="F259" i="1"/>
  <c r="E259" i="1"/>
  <c r="F257" i="1"/>
  <c r="F256" i="1"/>
  <c r="E256" i="1"/>
  <c r="F255" i="1"/>
  <c r="F254" i="1"/>
  <c r="E254" i="1"/>
  <c r="F253" i="1"/>
  <c r="F252" i="1"/>
  <c r="E252" i="1"/>
  <c r="F251" i="1"/>
  <c r="E251" i="1"/>
  <c r="F250" i="1"/>
  <c r="E250" i="1"/>
  <c r="F249" i="1"/>
  <c r="F248" i="1"/>
  <c r="E248" i="1"/>
  <c r="F247" i="1"/>
  <c r="E247" i="1"/>
  <c r="F246" i="1"/>
  <c r="E246" i="1"/>
  <c r="F243" i="1"/>
  <c r="E243" i="1"/>
  <c r="F242" i="1"/>
  <c r="E242" i="1"/>
  <c r="F241" i="1"/>
  <c r="F240" i="1"/>
  <c r="E240" i="1"/>
  <c r="F239" i="1"/>
  <c r="E239" i="1"/>
  <c r="F238" i="1"/>
  <c r="E238" i="1"/>
  <c r="F237" i="1"/>
  <c r="E237" i="1"/>
  <c r="F236" i="1"/>
  <c r="F235" i="1"/>
  <c r="F234" i="1"/>
  <c r="E234" i="1"/>
  <c r="F233" i="1"/>
  <c r="F232" i="1"/>
  <c r="E232" i="1"/>
  <c r="F231" i="1"/>
  <c r="F230" i="1"/>
  <c r="E230" i="1"/>
  <c r="F229" i="1"/>
  <c r="E229" i="1"/>
  <c r="F228" i="1"/>
  <c r="F227" i="1"/>
  <c r="F226" i="1"/>
  <c r="E226" i="1"/>
  <c r="F225" i="1"/>
  <c r="F224" i="1"/>
  <c r="E224" i="1"/>
  <c r="F223" i="1"/>
  <c r="F222" i="1"/>
  <c r="E222" i="1"/>
  <c r="F221" i="1"/>
  <c r="E221" i="1"/>
  <c r="F220" i="1"/>
  <c r="E220" i="1"/>
  <c r="F219" i="1"/>
  <c r="E219" i="1"/>
  <c r="F218" i="1"/>
  <c r="E218" i="1"/>
  <c r="F217" i="1"/>
  <c r="F216" i="1"/>
  <c r="E216" i="1"/>
  <c r="F215" i="1"/>
  <c r="E215" i="1"/>
  <c r="E214" i="1"/>
  <c r="F213" i="1"/>
  <c r="E213" i="1"/>
  <c r="F212" i="1"/>
  <c r="F211" i="1"/>
  <c r="F210" i="1"/>
  <c r="F209" i="1"/>
  <c r="F208" i="1"/>
  <c r="F207" i="1"/>
  <c r="E207" i="1"/>
  <c r="F206" i="1"/>
  <c r="E206" i="1"/>
  <c r="F205" i="1"/>
  <c r="F204" i="1"/>
  <c r="F203" i="1"/>
  <c r="E203" i="1"/>
  <c r="F202" i="1"/>
  <c r="E202" i="1"/>
  <c r="F201" i="1"/>
  <c r="E201" i="1"/>
  <c r="F199" i="1"/>
  <c r="E199" i="1"/>
  <c r="F198" i="1"/>
  <c r="E198" i="1"/>
  <c r="F197" i="1"/>
  <c r="F196" i="1"/>
  <c r="E196" i="1"/>
  <c r="F195" i="1"/>
  <c r="E195" i="1"/>
  <c r="F194" i="1"/>
  <c r="E194" i="1"/>
  <c r="F192" i="1"/>
  <c r="F191" i="1"/>
  <c r="F190" i="1"/>
  <c r="F189" i="1"/>
  <c r="E189" i="1"/>
  <c r="F188" i="1"/>
  <c r="E188" i="1"/>
  <c r="F186" i="1"/>
  <c r="E186" i="1"/>
  <c r="F185" i="1"/>
  <c r="F184" i="1"/>
  <c r="E184" i="1"/>
  <c r="F183" i="1"/>
  <c r="E183" i="1"/>
  <c r="F181" i="1"/>
  <c r="F180" i="1"/>
  <c r="E180" i="1"/>
  <c r="F179" i="1"/>
  <c r="E179" i="1"/>
  <c r="F178" i="1"/>
  <c r="E178" i="1"/>
  <c r="F177" i="1"/>
  <c r="E177" i="1"/>
  <c r="F176" i="1"/>
  <c r="F175" i="1"/>
  <c r="F174" i="1"/>
  <c r="F173" i="1"/>
  <c r="E173" i="1"/>
  <c r="F172" i="1"/>
  <c r="E172" i="1"/>
  <c r="F170" i="1"/>
  <c r="E170" i="1"/>
  <c r="F169" i="1"/>
  <c r="F168" i="1"/>
  <c r="F167" i="1"/>
  <c r="E167" i="1"/>
  <c r="F166" i="1"/>
  <c r="F165" i="1"/>
  <c r="F164" i="1"/>
  <c r="E164" i="1"/>
  <c r="F163" i="1"/>
  <c r="E163" i="1"/>
  <c r="F161" i="1"/>
  <c r="E161" i="1"/>
  <c r="F160" i="1"/>
  <c r="F159" i="1"/>
  <c r="E159" i="1"/>
  <c r="F158" i="1"/>
  <c r="F157" i="1"/>
  <c r="E157" i="1"/>
  <c r="F156" i="1"/>
  <c r="E156" i="1"/>
  <c r="F155" i="1"/>
  <c r="F154" i="1"/>
  <c r="F153" i="1"/>
  <c r="F152" i="1"/>
  <c r="E152" i="1"/>
  <c r="F151" i="1"/>
  <c r="F150" i="1"/>
  <c r="E150" i="1"/>
  <c r="F149" i="1"/>
  <c r="E149" i="1"/>
  <c r="F148" i="1"/>
  <c r="E147" i="1"/>
  <c r="E145" i="1"/>
  <c r="F144" i="1"/>
  <c r="E144" i="1"/>
  <c r="F143" i="1"/>
  <c r="E143" i="1"/>
  <c r="F142" i="1"/>
  <c r="E142" i="1"/>
  <c r="F140" i="1"/>
  <c r="E140" i="1"/>
  <c r="F139" i="1"/>
  <c r="E139" i="1"/>
  <c r="F138" i="1"/>
  <c r="E138" i="1"/>
  <c r="F137" i="1"/>
  <c r="F136" i="1"/>
  <c r="E136" i="1"/>
  <c r="F135" i="1"/>
  <c r="F134" i="1"/>
  <c r="F133" i="1"/>
  <c r="F132" i="1"/>
  <c r="F131" i="1"/>
  <c r="E131" i="1"/>
  <c r="F130" i="1"/>
  <c r="F129" i="1"/>
  <c r="F128" i="1"/>
  <c r="E128" i="1"/>
  <c r="F127" i="1"/>
  <c r="E127" i="1"/>
  <c r="F126" i="1"/>
  <c r="F125" i="1"/>
  <c r="F124" i="1"/>
  <c r="F123" i="1"/>
  <c r="E123" i="1"/>
  <c r="F122" i="1"/>
  <c r="E121" i="1"/>
  <c r="E120" i="1"/>
  <c r="F118" i="1"/>
  <c r="F117" i="1"/>
  <c r="E117" i="1"/>
  <c r="F116" i="1"/>
  <c r="F115" i="1"/>
  <c r="E115" i="1"/>
  <c r="F114" i="1"/>
  <c r="E114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F104" i="1"/>
  <c r="F103" i="1"/>
  <c r="E103" i="1"/>
  <c r="F102" i="1"/>
  <c r="F101" i="1"/>
  <c r="E101" i="1"/>
  <c r="F100" i="1"/>
  <c r="E100" i="1"/>
  <c r="F99" i="1"/>
  <c r="E99" i="1"/>
  <c r="F98" i="1"/>
  <c r="F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7" i="1"/>
  <c r="F86" i="1"/>
  <c r="F85" i="1"/>
  <c r="F84" i="1"/>
  <c r="E84" i="1"/>
  <c r="F83" i="1"/>
  <c r="E83" i="1"/>
  <c r="F82" i="1"/>
  <c r="E82" i="1"/>
  <c r="F81" i="1"/>
  <c r="F80" i="1"/>
  <c r="E80" i="1"/>
  <c r="F79" i="1"/>
  <c r="F77" i="1"/>
  <c r="E77" i="1"/>
  <c r="F76" i="1"/>
  <c r="F75" i="1"/>
  <c r="F74" i="1"/>
  <c r="E74" i="1"/>
  <c r="F73" i="1"/>
  <c r="F72" i="1"/>
  <c r="E71" i="1"/>
  <c r="E70" i="1"/>
  <c r="F69" i="1"/>
  <c r="E69" i="1"/>
  <c r="E68" i="1"/>
  <c r="F67" i="1"/>
  <c r="E67" i="1"/>
  <c r="F66" i="1"/>
  <c r="E66" i="1"/>
  <c r="F65" i="1"/>
  <c r="E65" i="1"/>
  <c r="F64" i="1"/>
  <c r="E64" i="1"/>
  <c r="F63" i="1"/>
  <c r="E63" i="1"/>
  <c r="F60" i="1"/>
  <c r="E60" i="1"/>
  <c r="F58" i="1"/>
  <c r="E58" i="1"/>
  <c r="F55" i="1"/>
  <c r="E55" i="1"/>
  <c r="F54" i="1"/>
  <c r="F53" i="1"/>
  <c r="E53" i="1"/>
  <c r="F52" i="1"/>
  <c r="E52" i="1"/>
  <c r="F51" i="1"/>
  <c r="E51" i="1"/>
  <c r="F49" i="1"/>
  <c r="F48" i="1"/>
  <c r="E48" i="1"/>
  <c r="E46" i="1"/>
  <c r="F45" i="1"/>
  <c r="E45" i="1"/>
  <c r="F44" i="1"/>
  <c r="F43" i="1"/>
  <c r="E43" i="1"/>
  <c r="F42" i="1"/>
  <c r="E42" i="1"/>
  <c r="F41" i="1"/>
  <c r="E41" i="1"/>
  <c r="F39" i="1"/>
  <c r="E39" i="1"/>
  <c r="F38" i="1"/>
  <c r="F37" i="1"/>
  <c r="E37" i="1"/>
  <c r="F36" i="1"/>
  <c r="E36" i="1"/>
  <c r="F35" i="1"/>
  <c r="E35" i="1"/>
  <c r="F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F26" i="1"/>
  <c r="E26" i="1"/>
  <c r="F25" i="1"/>
  <c r="E25" i="1"/>
  <c r="F24" i="1"/>
  <c r="F23" i="1"/>
  <c r="E23" i="1"/>
  <c r="F22" i="1"/>
  <c r="E22" i="1"/>
  <c r="F20" i="1"/>
  <c r="E20" i="1"/>
  <c r="F19" i="1"/>
  <c r="E19" i="1"/>
  <c r="F17" i="1"/>
  <c r="E17" i="1"/>
  <c r="F14" i="1"/>
  <c r="E14" i="1"/>
</calcChain>
</file>

<file path=xl/sharedStrings.xml><?xml version="1.0" encoding="utf-8"?>
<sst xmlns="http://schemas.openxmlformats.org/spreadsheetml/2006/main" count="2578" uniqueCount="111">
  <si>
    <t>09г2с</t>
  </si>
  <si>
    <t>8734-75</t>
  </si>
  <si>
    <t>8732-78</t>
  </si>
  <si>
    <t>12х1мф</t>
  </si>
  <si>
    <t>14-3р-55-01</t>
  </si>
  <si>
    <t>30хгса</t>
  </si>
  <si>
    <t>30хма</t>
  </si>
  <si>
    <t>40х</t>
  </si>
  <si>
    <t>15х5м</t>
  </si>
  <si>
    <t>550-75</t>
  </si>
  <si>
    <t>14-3р-50-01</t>
  </si>
  <si>
    <t>15х1м1ф</t>
  </si>
  <si>
    <t>14-3р-62-02</t>
  </si>
  <si>
    <t>14-3-1128-00</t>
  </si>
  <si>
    <t>14-3р-51-01</t>
  </si>
  <si>
    <t>15гс</t>
  </si>
  <si>
    <t>38ха</t>
  </si>
  <si>
    <t>20фа</t>
  </si>
  <si>
    <t>20а</t>
  </si>
  <si>
    <t>1317-006.1-593377520-2003</t>
  </si>
  <si>
    <t>Д</t>
  </si>
  <si>
    <t>ГОСТ, ТУ</t>
  </si>
  <si>
    <t>Диаметр, мм</t>
  </si>
  <si>
    <t>Стенка, мм</t>
  </si>
  <si>
    <t>Марка стали</t>
  </si>
  <si>
    <t>10705-80</t>
  </si>
  <si>
    <t>40хн2ма</t>
  </si>
  <si>
    <t>14-3-1622-89</t>
  </si>
  <si>
    <t>14-3-190-04</t>
  </si>
  <si>
    <t>20х2ма</t>
  </si>
  <si>
    <t>13хфа</t>
  </si>
  <si>
    <t>501-550</t>
  </si>
  <si>
    <t>451-500</t>
  </si>
  <si>
    <t>401-450</t>
  </si>
  <si>
    <t>351-400</t>
  </si>
  <si>
    <t>301-350</t>
  </si>
  <si>
    <t>251-300</t>
  </si>
  <si>
    <t>151-200</t>
  </si>
  <si>
    <t>101-150</t>
  </si>
  <si>
    <t>Прайс на услуги резки труб (руб. с НДС)</t>
  </si>
  <si>
    <t xml:space="preserve">Осуществляем резку трубы в размер (от 10 сантиметров). </t>
  </si>
  <si>
    <t>20ПВ</t>
  </si>
  <si>
    <t>14-3-1941-94</t>
  </si>
  <si>
    <t xml:space="preserve"> Под изготовление - любые объемы,в том числе ниже заводской монтажной нормы.</t>
  </si>
  <si>
    <t>14-3р-1128-2007</t>
  </si>
  <si>
    <t>1383-010-48124013-2003</t>
  </si>
  <si>
    <t>20ф</t>
  </si>
  <si>
    <t>1317-214-00147016-02</t>
  </si>
  <si>
    <t>14-3Р-55-01</t>
  </si>
  <si>
    <t>1317-233-00147016-2002</t>
  </si>
  <si>
    <t>шх15</t>
  </si>
  <si>
    <t>14-158-95-93</t>
  </si>
  <si>
    <t>10706-76</t>
  </si>
  <si>
    <t>17г1с-у</t>
  </si>
  <si>
    <t>12хн3а</t>
  </si>
  <si>
    <t>С Уважением, Казанцев Денис Анатольевич</t>
  </si>
  <si>
    <t>ООО Производственно-Торговая Компания "Стальной Мир"</t>
  </si>
  <si>
    <t>e-mail: 7298699@bk.ru</t>
  </si>
  <si>
    <t>ТУ 14-3Р-55-01</t>
  </si>
  <si>
    <t>32ха</t>
  </si>
  <si>
    <t>10704-91</t>
  </si>
  <si>
    <t>Наличие, т</t>
  </si>
  <si>
    <t>Цена, руб с НДС</t>
  </si>
  <si>
    <t>8(351) 216-30-55, 8-962-485-30-55</t>
  </si>
  <si>
    <t>8-962-485-30-55</t>
  </si>
  <si>
    <t>Адрес склада  г. Челябинск, ул. Производственная, 8 А. (Заезд со стороны ул. Автодорожной)</t>
  </si>
  <si>
    <t>Диаметр,мм</t>
  </si>
  <si>
    <t>Толщина,мм</t>
  </si>
  <si>
    <t>до 10мм</t>
  </si>
  <si>
    <t>до 20мм</t>
  </si>
  <si>
    <t>до 30мм</t>
  </si>
  <si>
    <t>до 40мм</t>
  </si>
  <si>
    <t>до 50мм</t>
  </si>
  <si>
    <t>до 60мм</t>
  </si>
  <si>
    <t>до 70мм</t>
  </si>
  <si>
    <t>до 80мм</t>
  </si>
  <si>
    <t>до 90мм</t>
  </si>
  <si>
    <t>до 100мм</t>
  </si>
  <si>
    <t>св 100мм</t>
  </si>
  <si>
    <t xml:space="preserve">201-250 </t>
  </si>
  <si>
    <t>551-600</t>
  </si>
  <si>
    <t>601-650</t>
  </si>
  <si>
    <t>651-700</t>
  </si>
  <si>
    <t>701-750</t>
  </si>
  <si>
    <t>38хма</t>
  </si>
  <si>
    <t>23270-89</t>
  </si>
  <si>
    <t>Если необходимой трубы нет на нашем складе, звоните,оперативно промониторим склады ОАО "ЧТПЗ", подберем все что Вам необходимо, либо быстро изготовим.</t>
  </si>
  <si>
    <t>8 (351) 216-30-55</t>
  </si>
  <si>
    <t>10704-75</t>
  </si>
  <si>
    <t>20х</t>
  </si>
  <si>
    <t>38ХН3МФА</t>
  </si>
  <si>
    <t>14-3-460-03</t>
  </si>
  <si>
    <t>14-3Р-50-01</t>
  </si>
  <si>
    <t>ТУ 14-3Р-51-01</t>
  </si>
  <si>
    <t>7298699@bk.ru</t>
  </si>
  <si>
    <t>Свой склад ,в наличии более 6 600 тн!</t>
  </si>
  <si>
    <t>Отправляем попутным грузом. Транспортными компаниями.</t>
  </si>
  <si>
    <t>40Х</t>
  </si>
  <si>
    <t>шх15-в</t>
  </si>
  <si>
    <t>800-78</t>
  </si>
  <si>
    <t>17г1с</t>
  </si>
  <si>
    <t>20СП</t>
  </si>
  <si>
    <t>18х2н4ма</t>
  </si>
  <si>
    <t>до 3мм</t>
  </si>
  <si>
    <t>до 7мм</t>
  </si>
  <si>
    <t>св 8мм</t>
  </si>
  <si>
    <t>0-50</t>
  </si>
  <si>
    <t>51-100</t>
  </si>
  <si>
    <t>632-80</t>
  </si>
  <si>
    <t>Е</t>
  </si>
  <si>
    <t>10705-75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</si>
</sst>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.000"/>
    <numFmt numFmtId="166" formatCode="_-* #,##0.00&quot;р.&quot;_-;\-* #,##0.00&quot;р.&quot;_-;_-* &quot;-&quot;??&quot;р.&quot;_-;_-@_-"/>
    <numFmt numFmtId="167" formatCode="#,##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i/>
      <u/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  <font>
      <sz val="24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0" fillId="2" borderId="0">
      <alignment horizontal="left" vertical="top"/>
    </xf>
    <xf numFmtId="0" fontId="10" fillId="2" borderId="0">
      <alignment horizontal="right" vertical="top"/>
    </xf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0" borderId="0" xfId="0" applyFont="1" applyFill="1" applyBorder="1" applyAlignment="1">
      <alignment horizontal="left" vertical="center" readingOrder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readingOrder="1"/>
    </xf>
    <xf numFmtId="0" fontId="3" fillId="0" borderId="0" xfId="0" applyFont="1" applyFill="1" applyBorder="1" applyAlignment="1">
      <alignment horizontal="left" readingOrder="1"/>
    </xf>
    <xf numFmtId="0" fontId="14" fillId="0" borderId="0" xfId="0" applyFont="1" applyAlignment="1">
      <alignment horizontal="center" vertical="center"/>
    </xf>
    <xf numFmtId="0" fontId="7" fillId="0" borderId="0" xfId="0" applyFont="1" applyFill="1"/>
    <xf numFmtId="0" fontId="17" fillId="0" borderId="0" xfId="0" applyFont="1" applyFill="1" applyBorder="1" applyAlignment="1"/>
    <xf numFmtId="167" fontId="0" fillId="0" borderId="9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 readingOrder="1"/>
    </xf>
    <xf numFmtId="0" fontId="18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center"/>
    </xf>
    <xf numFmtId="0" fontId="9" fillId="0" borderId="0" xfId="0" applyFont="1"/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167" fontId="0" fillId="0" borderId="6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left" readingOrder="1"/>
    </xf>
    <xf numFmtId="0" fontId="0" fillId="0" borderId="0" xfId="0" applyFill="1" applyBorder="1" applyAlignment="1">
      <alignment horizontal="left" readingOrder="1"/>
    </xf>
    <xf numFmtId="0" fontId="16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 readingOrder="1"/>
    </xf>
    <xf numFmtId="0" fontId="18" fillId="3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17">
    <cellStyle name="S0 2" xfId="2"/>
    <cellStyle name="S1 2" xfId="3"/>
    <cellStyle name="Гиперссылка 12" xfId="4"/>
    <cellStyle name="Денежный 4" xfId="5"/>
    <cellStyle name="Денежный 4 2" xfId="6"/>
    <cellStyle name="Денежный 4 3" xfId="7"/>
    <cellStyle name="Обычный" xfId="0" builtinId="0"/>
    <cellStyle name="Обычный 2" xfId="8"/>
    <cellStyle name="Обычный 2 2" xfId="9"/>
    <cellStyle name="Обычный 3" xfId="10"/>
    <cellStyle name="Обычный 4" xfId="1"/>
    <cellStyle name="Обычный 4 2" xfId="11"/>
    <cellStyle name="Обычный 4 3" xfId="12"/>
    <cellStyle name="Обычный 5" xfId="13"/>
    <cellStyle name="Обычный 6" xfId="14"/>
    <cellStyle name="Обычный 7" xfId="15"/>
    <cellStyle name="Обычный 8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733425</xdr:colOff>
      <xdr:row>1</xdr:row>
      <xdr:rowOff>85725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242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26</xdr:col>
      <xdr:colOff>523874</xdr:colOff>
      <xdr:row>37</xdr:row>
      <xdr:rowOff>171449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16373474" cy="719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298699@mail.ru%20%20%20%20%20%20%20%20%20%20%20%20%20%20%20%20%20%20%20%20%20icq:66676679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726"/>
  <sheetViews>
    <sheetView tabSelected="1" topLeftCell="A10" workbookViewId="0">
      <selection activeCell="F21" sqref="F21"/>
    </sheetView>
  </sheetViews>
  <sheetFormatPr defaultRowHeight="15" x14ac:dyDescent="0.25"/>
  <cols>
    <col min="1" max="1" width="14.28515625" customWidth="1"/>
    <col min="2" max="2" width="14.140625" customWidth="1"/>
    <col min="3" max="3" width="13.42578125" customWidth="1"/>
    <col min="4" max="4" width="20.42578125" customWidth="1"/>
    <col min="5" max="5" width="19.5703125" customWidth="1"/>
    <col min="6" max="6" width="22.28515625" customWidth="1"/>
    <col min="7" max="7" width="26" customWidth="1"/>
    <col min="8" max="8" width="10.140625" bestFit="1" customWidth="1"/>
    <col min="9" max="10" width="9.42578125" bestFit="1" customWidth="1"/>
    <col min="11" max="12" width="9.28515625" bestFit="1" customWidth="1"/>
    <col min="13" max="13" width="12" bestFit="1" customWidth="1"/>
    <col min="14" max="14" width="11.85546875" bestFit="1" customWidth="1"/>
    <col min="15" max="15" width="9.28515625" bestFit="1" customWidth="1"/>
  </cols>
  <sheetData>
    <row r="1" spans="1:21" s="2" customFormat="1" ht="65.25" customHeight="1" x14ac:dyDescent="0.25">
      <c r="C1" s="3"/>
    </row>
    <row r="2" spans="1:21" s="5" customFormat="1" ht="28.5" x14ac:dyDescent="0.25">
      <c r="A2" s="4" t="s">
        <v>55</v>
      </c>
      <c r="B2" s="2"/>
      <c r="C2" s="3"/>
      <c r="D2" s="2"/>
      <c r="E2" s="2"/>
      <c r="F2" s="2"/>
    </row>
    <row r="3" spans="1:21" s="5" customFormat="1" ht="26.25" x14ac:dyDescent="0.25">
      <c r="A3" s="6" t="s">
        <v>56</v>
      </c>
      <c r="B3" s="2"/>
      <c r="C3" s="3"/>
      <c r="D3" s="2"/>
      <c r="E3" s="2"/>
      <c r="F3" s="2"/>
    </row>
    <row r="4" spans="1:21" s="5" customFormat="1" ht="42.75" customHeight="1" x14ac:dyDescent="0.25">
      <c r="A4" s="6" t="s">
        <v>64</v>
      </c>
      <c r="B4" s="2"/>
      <c r="C4" s="3"/>
      <c r="D4" s="40" t="s">
        <v>43</v>
      </c>
      <c r="E4" s="40"/>
      <c r="F4" s="40"/>
      <c r="G4" s="26"/>
    </row>
    <row r="5" spans="1:21" s="5" customFormat="1" ht="34.5" customHeight="1" x14ac:dyDescent="0.25">
      <c r="A5" s="27" t="s">
        <v>57</v>
      </c>
      <c r="B5" s="2"/>
      <c r="C5" s="3"/>
      <c r="D5" s="40"/>
      <c r="E5" s="40"/>
      <c r="F5" s="40"/>
      <c r="G5" s="26"/>
    </row>
    <row r="6" spans="1:21" s="5" customFormat="1" ht="33" customHeight="1" x14ac:dyDescent="0.25">
      <c r="A6" s="41" t="s">
        <v>87</v>
      </c>
      <c r="B6" s="41"/>
      <c r="C6" s="41"/>
      <c r="D6" s="40"/>
      <c r="E6" s="40"/>
      <c r="F6" s="40"/>
      <c r="G6" s="26"/>
    </row>
    <row r="7" spans="1:21" s="5" customFormat="1" ht="33" customHeight="1" x14ac:dyDescent="0.25">
      <c r="D7" s="40"/>
      <c r="E7" s="40"/>
      <c r="F7" s="40"/>
      <c r="G7" s="26"/>
    </row>
    <row r="8" spans="1:21" s="7" customFormat="1" ht="31.5" customHeight="1" x14ac:dyDescent="0.25">
      <c r="A8" s="8" t="s">
        <v>40</v>
      </c>
      <c r="E8" s="26"/>
      <c r="F8" s="26"/>
      <c r="G8" s="26"/>
    </row>
    <row r="9" spans="1:21" s="37" customFormat="1" ht="24" customHeight="1" x14ac:dyDescent="0.25">
      <c r="A9" s="36" t="s">
        <v>96</v>
      </c>
    </row>
    <row r="10" spans="1:21" s="37" customFormat="1" ht="24" customHeight="1" x14ac:dyDescent="0.25">
      <c r="A10" s="36" t="s">
        <v>95</v>
      </c>
    </row>
    <row r="11" spans="1:21" s="1" customFormat="1" ht="43.5" customHeight="1" x14ac:dyDescent="0.25">
      <c r="A11" s="39" t="s">
        <v>65</v>
      </c>
      <c r="B11" s="39"/>
      <c r="C11" s="39"/>
      <c r="D11" s="39"/>
      <c r="E11" s="39"/>
      <c r="F11" s="39"/>
      <c r="G11" s="25"/>
    </row>
    <row r="12" spans="1:21" s="11" customFormat="1" ht="39.75" customHeight="1" thickBot="1" x14ac:dyDescent="0.3">
      <c r="A12" s="38" t="s">
        <v>86</v>
      </c>
      <c r="B12" s="38"/>
      <c r="C12" s="38"/>
      <c r="D12" s="38"/>
      <c r="E12" s="38"/>
      <c r="F12" s="38"/>
      <c r="G12" s="24"/>
      <c r="H12" s="24"/>
    </row>
    <row r="13" spans="1:21" s="5" customFormat="1" ht="26.25" customHeight="1" thickBot="1" x14ac:dyDescent="0.3">
      <c r="A13" s="51" t="s">
        <v>22</v>
      </c>
      <c r="B13" s="52" t="s">
        <v>23</v>
      </c>
      <c r="C13" s="52" t="s">
        <v>24</v>
      </c>
      <c r="D13" s="52" t="s">
        <v>21</v>
      </c>
      <c r="E13" s="52" t="s">
        <v>61</v>
      </c>
      <c r="F13" s="52" t="s">
        <v>62</v>
      </c>
    </row>
    <row r="14" spans="1:21" s="10" customFormat="1" x14ac:dyDescent="0.25">
      <c r="A14" s="48">
        <v>27</v>
      </c>
      <c r="B14" s="48">
        <v>4</v>
      </c>
      <c r="C14" s="48" t="s">
        <v>7</v>
      </c>
      <c r="D14" s="48" t="s">
        <v>1</v>
      </c>
      <c r="E14" s="49">
        <f>0.845-0.065-0.065</f>
        <v>0.71500000000000008</v>
      </c>
      <c r="F14" s="50">
        <f>92700+1000+28000</f>
        <v>121700</v>
      </c>
      <c r="N14" s="21"/>
      <c r="O14" s="22"/>
    </row>
    <row r="15" spans="1:21" s="10" customFormat="1" x14ac:dyDescent="0.25">
      <c r="A15" s="16">
        <v>32</v>
      </c>
      <c r="B15" s="16">
        <v>3</v>
      </c>
      <c r="C15" s="16">
        <v>20</v>
      </c>
      <c r="D15" s="16" t="s">
        <v>2</v>
      </c>
      <c r="E15" s="17">
        <v>2.5000000000000001E-2</v>
      </c>
      <c r="F15" s="18">
        <v>85700</v>
      </c>
      <c r="N15" s="21"/>
      <c r="O15" s="22"/>
      <c r="Q15"/>
      <c r="R15"/>
      <c r="S15"/>
      <c r="T15"/>
      <c r="U15"/>
    </row>
    <row r="16" spans="1:21" s="10" customFormat="1" x14ac:dyDescent="0.25">
      <c r="A16" s="16">
        <v>32</v>
      </c>
      <c r="B16" s="16">
        <v>3.5</v>
      </c>
      <c r="C16" s="16">
        <v>20</v>
      </c>
      <c r="D16" s="16" t="s">
        <v>2</v>
      </c>
      <c r="E16" s="17">
        <v>7.0000000000000001E-3</v>
      </c>
      <c r="F16" s="18">
        <v>79700</v>
      </c>
      <c r="N16" s="21"/>
      <c r="O16" s="22"/>
      <c r="Q16"/>
      <c r="R16"/>
      <c r="S16"/>
      <c r="T16"/>
      <c r="U16"/>
    </row>
    <row r="17" spans="1:21" s="10" customFormat="1" x14ac:dyDescent="0.25">
      <c r="A17" s="16">
        <v>32</v>
      </c>
      <c r="B17" s="16">
        <v>4.5</v>
      </c>
      <c r="C17" s="16" t="s">
        <v>7</v>
      </c>
      <c r="D17" s="16" t="s">
        <v>1</v>
      </c>
      <c r="E17" s="17">
        <f>4.775-0.5-0.508-0.029-0.004-0.029-0.029</f>
        <v>3.6760000000000006</v>
      </c>
      <c r="F17" s="18">
        <f>92700+1000+22000</f>
        <v>115700</v>
      </c>
      <c r="N17" s="21"/>
      <c r="O17" s="22"/>
      <c r="Q17"/>
      <c r="R17"/>
      <c r="S17"/>
      <c r="T17"/>
      <c r="U17"/>
    </row>
    <row r="18" spans="1:21" s="10" customFormat="1" x14ac:dyDescent="0.25">
      <c r="A18" s="16">
        <v>32</v>
      </c>
      <c r="B18" s="16">
        <v>5</v>
      </c>
      <c r="C18" s="16" t="s">
        <v>3</v>
      </c>
      <c r="D18" s="16" t="s">
        <v>4</v>
      </c>
      <c r="E18" s="17">
        <v>0.01</v>
      </c>
      <c r="F18" s="18">
        <v>125000</v>
      </c>
      <c r="N18" s="21"/>
      <c r="O18" s="22"/>
      <c r="P18"/>
      <c r="Q18"/>
      <c r="R18"/>
      <c r="S18"/>
      <c r="T18"/>
      <c r="U18"/>
    </row>
    <row r="19" spans="1:21" s="10" customFormat="1" x14ac:dyDescent="0.25">
      <c r="A19" s="16">
        <v>36</v>
      </c>
      <c r="B19" s="16">
        <v>5</v>
      </c>
      <c r="C19" s="16">
        <v>20</v>
      </c>
      <c r="D19" s="16" t="s">
        <v>2</v>
      </c>
      <c r="E19" s="17">
        <f>6.92-0.139-0.198-0.18-0.091-0.035-0.162-0.3-0.035-0.479-0.244-0.103-0.101</f>
        <v>4.8529999999999998</v>
      </c>
      <c r="F19" s="18">
        <f>74700+1000+4000</f>
        <v>79700</v>
      </c>
      <c r="N19" s="21"/>
      <c r="O19" s="22"/>
    </row>
    <row r="20" spans="1:21" s="10" customFormat="1" x14ac:dyDescent="0.25">
      <c r="A20" s="16">
        <v>36</v>
      </c>
      <c r="B20" s="16">
        <v>5.5</v>
      </c>
      <c r="C20" s="16" t="s">
        <v>7</v>
      </c>
      <c r="D20" s="16" t="s">
        <v>1</v>
      </c>
      <c r="E20" s="17">
        <f>3.48-0.013-0.63-0.038</f>
        <v>2.7990000000000004</v>
      </c>
      <c r="F20" s="18">
        <f>92700+1000+17000</f>
        <v>110700</v>
      </c>
      <c r="N20" s="21"/>
      <c r="O20" s="22"/>
    </row>
    <row r="21" spans="1:21" s="10" customFormat="1" x14ac:dyDescent="0.25">
      <c r="A21" s="16">
        <v>38</v>
      </c>
      <c r="B21" s="16">
        <v>4</v>
      </c>
      <c r="C21" s="16">
        <v>20</v>
      </c>
      <c r="D21" s="16" t="s">
        <v>2</v>
      </c>
      <c r="E21" s="17">
        <v>2.15</v>
      </c>
      <c r="F21" s="18">
        <v>79700</v>
      </c>
      <c r="N21" s="21"/>
      <c r="O21" s="22"/>
    </row>
    <row r="22" spans="1:21" s="10" customFormat="1" x14ac:dyDescent="0.25">
      <c r="A22" s="16">
        <v>38</v>
      </c>
      <c r="B22" s="16">
        <v>3.5</v>
      </c>
      <c r="C22" s="16">
        <v>20</v>
      </c>
      <c r="D22" s="16" t="s">
        <v>2</v>
      </c>
      <c r="E22" s="17">
        <f>0.8-0.022-0.365</f>
        <v>0.41300000000000003</v>
      </c>
      <c r="F22" s="18">
        <f>74700+1000+4000</f>
        <v>79700</v>
      </c>
      <c r="N22" s="21"/>
      <c r="O22" s="22"/>
    </row>
    <row r="23" spans="1:21" s="10" customFormat="1" x14ac:dyDescent="0.25">
      <c r="A23" s="16">
        <v>38</v>
      </c>
      <c r="B23" s="16">
        <v>3.5</v>
      </c>
      <c r="C23" s="16">
        <v>20</v>
      </c>
      <c r="D23" s="16" t="s">
        <v>2</v>
      </c>
      <c r="E23" s="17">
        <f>0.173-0.036</f>
        <v>0.13699999999999998</v>
      </c>
      <c r="F23" s="18">
        <f>74700+1000+4000</f>
        <v>79700</v>
      </c>
      <c r="N23" s="21"/>
      <c r="O23" s="22"/>
    </row>
    <row r="24" spans="1:21" s="10" customFormat="1" x14ac:dyDescent="0.25">
      <c r="A24" s="16">
        <v>38</v>
      </c>
      <c r="B24" s="16">
        <v>4</v>
      </c>
      <c r="C24" s="16">
        <v>20</v>
      </c>
      <c r="D24" s="16" t="s">
        <v>2</v>
      </c>
      <c r="E24" s="17">
        <v>7.0999999999999994E-2</v>
      </c>
      <c r="F24" s="18">
        <f>74700+1000+4000</f>
        <v>79700</v>
      </c>
      <c r="N24" s="21"/>
      <c r="O24" s="22"/>
    </row>
    <row r="25" spans="1:21" s="10" customFormat="1" x14ac:dyDescent="0.25">
      <c r="A25" s="16">
        <v>38</v>
      </c>
      <c r="B25" s="19">
        <v>4</v>
      </c>
      <c r="C25" s="16">
        <v>45</v>
      </c>
      <c r="D25" s="16" t="s">
        <v>1</v>
      </c>
      <c r="E25" s="17">
        <f>0.275-0.021-0.024-0.146</f>
        <v>8.4000000000000019E-2</v>
      </c>
      <c r="F25" s="18">
        <f>79700+1000</f>
        <v>80700</v>
      </c>
      <c r="N25" s="21"/>
      <c r="O25" s="22"/>
    </row>
    <row r="26" spans="1:21" s="10" customFormat="1" x14ac:dyDescent="0.25">
      <c r="A26" s="16">
        <v>38</v>
      </c>
      <c r="B26" s="16">
        <v>5</v>
      </c>
      <c r="C26" s="16">
        <v>20</v>
      </c>
      <c r="D26" s="16" t="s">
        <v>1</v>
      </c>
      <c r="E26" s="17">
        <f>0.029-0.009</f>
        <v>2.0000000000000004E-2</v>
      </c>
      <c r="F26" s="18">
        <f>78700+1000</f>
        <v>79700</v>
      </c>
      <c r="N26" s="21"/>
      <c r="O26" s="22"/>
    </row>
    <row r="27" spans="1:21" s="10" customFormat="1" x14ac:dyDescent="0.25">
      <c r="A27" s="16">
        <v>38</v>
      </c>
      <c r="B27" s="16">
        <v>5</v>
      </c>
      <c r="C27" s="16">
        <v>20</v>
      </c>
      <c r="D27" s="16" t="s">
        <v>2</v>
      </c>
      <c r="E27" s="17">
        <v>8.0000000000000002E-3</v>
      </c>
      <c r="F27" s="18">
        <f>74700+1000+4000</f>
        <v>79700</v>
      </c>
      <c r="N27" s="21"/>
      <c r="O27" s="22"/>
    </row>
    <row r="28" spans="1:21" s="10" customFormat="1" x14ac:dyDescent="0.25">
      <c r="A28" s="16">
        <v>38</v>
      </c>
      <c r="B28" s="16">
        <v>5</v>
      </c>
      <c r="C28" s="16">
        <v>20</v>
      </c>
      <c r="D28" s="16" t="s">
        <v>2</v>
      </c>
      <c r="E28" s="17">
        <f>1.075-0.002</f>
        <v>1.073</v>
      </c>
      <c r="F28" s="18">
        <f>47700+1000</f>
        <v>48700</v>
      </c>
      <c r="N28" s="21"/>
      <c r="O28" s="22"/>
    </row>
    <row r="29" spans="1:21" s="10" customFormat="1" x14ac:dyDescent="0.25">
      <c r="A29" s="16">
        <v>40</v>
      </c>
      <c r="B29" s="16">
        <v>3</v>
      </c>
      <c r="C29" s="16" t="s">
        <v>5</v>
      </c>
      <c r="D29" s="16" t="s">
        <v>1</v>
      </c>
      <c r="E29" s="17">
        <f>5.24-1-0.135-0.027-0.083-0.029-0.027-0.034</f>
        <v>3.9050000000000002</v>
      </c>
      <c r="F29" s="18">
        <f>140000+1000</f>
        <v>141000</v>
      </c>
      <c r="N29" s="21"/>
      <c r="O29" s="22"/>
    </row>
    <row r="30" spans="1:21" s="10" customFormat="1" x14ac:dyDescent="0.25">
      <c r="A30" s="16">
        <v>40</v>
      </c>
      <c r="B30" s="16">
        <v>5</v>
      </c>
      <c r="C30" s="16" t="s">
        <v>7</v>
      </c>
      <c r="D30" s="16" t="s">
        <v>1</v>
      </c>
      <c r="E30" s="17">
        <f>1.92-0.027-0.148</f>
        <v>1.7450000000000001</v>
      </c>
      <c r="F30" s="18">
        <f>92700+1000+10000</f>
        <v>103700</v>
      </c>
      <c r="N30" s="21"/>
      <c r="O30" s="22"/>
    </row>
    <row r="31" spans="1:21" s="10" customFormat="1" x14ac:dyDescent="0.25">
      <c r="A31" s="16">
        <v>42</v>
      </c>
      <c r="B31" s="16">
        <v>2.5</v>
      </c>
      <c r="C31" s="16">
        <v>20</v>
      </c>
      <c r="D31" s="16" t="s">
        <v>1</v>
      </c>
      <c r="E31" s="17">
        <f>0.25-0.044</f>
        <v>0.20600000000000002</v>
      </c>
      <c r="F31" s="18">
        <f>84700+1000+14000</f>
        <v>99700</v>
      </c>
      <c r="N31" s="21"/>
      <c r="O31" s="22"/>
    </row>
    <row r="32" spans="1:21" s="10" customFormat="1" x14ac:dyDescent="0.25">
      <c r="A32" s="16">
        <v>42</v>
      </c>
      <c r="B32" s="16">
        <v>3</v>
      </c>
      <c r="C32" s="16">
        <v>20</v>
      </c>
      <c r="D32" s="16" t="s">
        <v>1</v>
      </c>
      <c r="E32" s="17">
        <f>2.732-0.034-0.034-0.012-0.099-0.291-0.229-0.086-0.227</f>
        <v>1.7200000000000002</v>
      </c>
      <c r="F32" s="18">
        <f>78000+1000+10700</f>
        <v>89700</v>
      </c>
      <c r="N32" s="21"/>
      <c r="O32" s="22"/>
    </row>
    <row r="33" spans="1:15" s="10" customFormat="1" x14ac:dyDescent="0.25">
      <c r="A33" s="16">
        <v>42</v>
      </c>
      <c r="B33" s="16">
        <v>5</v>
      </c>
      <c r="C33" s="16" t="s">
        <v>3</v>
      </c>
      <c r="D33" s="16" t="s">
        <v>4</v>
      </c>
      <c r="E33" s="17">
        <f>0.243-0.11-0.025-0.023-0.016</f>
        <v>6.900000000000002E-2</v>
      </c>
      <c r="F33" s="18">
        <f>51000+3000</f>
        <v>54000</v>
      </c>
      <c r="N33" s="21"/>
      <c r="O33" s="22"/>
    </row>
    <row r="34" spans="1:15" s="10" customFormat="1" x14ac:dyDescent="0.25">
      <c r="A34" s="16">
        <v>42</v>
      </c>
      <c r="B34" s="16">
        <v>7</v>
      </c>
      <c r="C34" s="16">
        <v>20</v>
      </c>
      <c r="D34" s="16" t="s">
        <v>2</v>
      </c>
      <c r="E34" s="17">
        <v>5</v>
      </c>
      <c r="F34" s="18">
        <f>74700+1000+4000</f>
        <v>79700</v>
      </c>
      <c r="N34" s="21"/>
      <c r="O34" s="22"/>
    </row>
    <row r="35" spans="1:15" s="10" customFormat="1" x14ac:dyDescent="0.25">
      <c r="A35" s="16">
        <v>42</v>
      </c>
      <c r="B35" s="16">
        <v>10</v>
      </c>
      <c r="C35" s="16">
        <v>20</v>
      </c>
      <c r="D35" s="16" t="s">
        <v>2</v>
      </c>
      <c r="E35" s="17">
        <f>5.421-0.025-0.071-0.049-0.076-0.142-0.017-0.216-0.025-0.07-0.03</f>
        <v>4.6999999999999984</v>
      </c>
      <c r="F35" s="18">
        <f>74700+1000+4000</f>
        <v>79700</v>
      </c>
      <c r="N35" s="21"/>
      <c r="O35" s="22"/>
    </row>
    <row r="36" spans="1:15" s="10" customFormat="1" x14ac:dyDescent="0.25">
      <c r="A36" s="16">
        <v>45</v>
      </c>
      <c r="B36" s="16">
        <v>4</v>
      </c>
      <c r="C36" s="16">
        <v>20</v>
      </c>
      <c r="D36" s="16" t="s">
        <v>2</v>
      </c>
      <c r="E36" s="17">
        <f>1.03-0.013-0.068-0.441-0.009</f>
        <v>0.499</v>
      </c>
      <c r="F36" s="18">
        <f>74700+1000+4000</f>
        <v>79700</v>
      </c>
      <c r="N36" s="21"/>
      <c r="O36" s="22"/>
    </row>
    <row r="37" spans="1:15" s="10" customFormat="1" x14ac:dyDescent="0.25">
      <c r="A37" s="16">
        <v>45</v>
      </c>
      <c r="B37" s="16">
        <v>4</v>
      </c>
      <c r="C37" s="16" t="s">
        <v>0</v>
      </c>
      <c r="D37" s="16" t="s">
        <v>13</v>
      </c>
      <c r="E37" s="17">
        <f>7.745-0.565-0.003-0.039-0.005-0.745-0.42-0.036-0.038-0.034-0.109-0.038</f>
        <v>5.7130000000000001</v>
      </c>
      <c r="F37" s="18">
        <f>84000+1000</f>
        <v>85000</v>
      </c>
      <c r="N37" s="21"/>
      <c r="O37" s="22"/>
    </row>
    <row r="38" spans="1:15" s="10" customFormat="1" x14ac:dyDescent="0.25">
      <c r="A38" s="16">
        <v>45</v>
      </c>
      <c r="B38" s="16">
        <v>10</v>
      </c>
      <c r="C38" s="16">
        <v>20</v>
      </c>
      <c r="D38" s="16" t="s">
        <v>2</v>
      </c>
      <c r="E38" s="17">
        <v>5</v>
      </c>
      <c r="F38" s="18">
        <f>74700+1000+4000</f>
        <v>79700</v>
      </c>
      <c r="N38" s="21"/>
      <c r="O38" s="22"/>
    </row>
    <row r="39" spans="1:15" s="10" customFormat="1" x14ac:dyDescent="0.25">
      <c r="A39" s="16">
        <v>45</v>
      </c>
      <c r="B39" s="16">
        <v>10</v>
      </c>
      <c r="C39" s="16" t="s">
        <v>7</v>
      </c>
      <c r="D39" s="16" t="s">
        <v>2</v>
      </c>
      <c r="E39" s="17">
        <f>5.619-0.94-0.405-0.167-0.342-0.083-0.085-0.009-0.033-1.385</f>
        <v>2.17</v>
      </c>
      <c r="F39" s="18">
        <f>92700+1000</f>
        <v>93700</v>
      </c>
      <c r="N39" s="21"/>
      <c r="O39" s="22"/>
    </row>
    <row r="40" spans="1:15" s="10" customFormat="1" x14ac:dyDescent="0.25">
      <c r="A40" s="16">
        <v>47</v>
      </c>
      <c r="B40" s="16">
        <v>9.1999999999999993</v>
      </c>
      <c r="C40" s="16" t="s">
        <v>98</v>
      </c>
      <c r="D40" s="16" t="s">
        <v>99</v>
      </c>
      <c r="E40" s="17">
        <v>4.57</v>
      </c>
      <c r="F40" s="18">
        <v>85700</v>
      </c>
      <c r="N40" s="21"/>
      <c r="O40" s="22"/>
    </row>
    <row r="41" spans="1:15" s="10" customFormat="1" x14ac:dyDescent="0.25">
      <c r="A41" s="16">
        <v>48</v>
      </c>
      <c r="B41" s="16">
        <v>5</v>
      </c>
      <c r="C41" s="16" t="s">
        <v>7</v>
      </c>
      <c r="D41" s="16" t="s">
        <v>1</v>
      </c>
      <c r="E41" s="17">
        <f>1.2-0.42-0.287</f>
        <v>0.49300000000000005</v>
      </c>
      <c r="F41" s="18">
        <f>92700+1000+8000</f>
        <v>101700</v>
      </c>
      <c r="N41" s="21"/>
      <c r="O41" s="22"/>
    </row>
    <row r="42" spans="1:15" s="10" customFormat="1" x14ac:dyDescent="0.25">
      <c r="A42" s="16">
        <v>48</v>
      </c>
      <c r="B42" s="16">
        <v>8</v>
      </c>
      <c r="C42" s="16">
        <v>20</v>
      </c>
      <c r="D42" s="16" t="s">
        <v>1</v>
      </c>
      <c r="E42" s="17">
        <f>2.68-0.009-0.25-0.055-0.002-0.046-0.054</f>
        <v>2.2640000000000007</v>
      </c>
      <c r="F42" s="18">
        <f>84700+1000+10000</f>
        <v>95700</v>
      </c>
      <c r="N42" s="21"/>
      <c r="O42" s="22"/>
    </row>
    <row r="43" spans="1:15" s="10" customFormat="1" x14ac:dyDescent="0.25">
      <c r="A43" s="16">
        <v>48</v>
      </c>
      <c r="B43" s="16">
        <v>10</v>
      </c>
      <c r="C43" s="16">
        <v>20</v>
      </c>
      <c r="D43" s="16" t="s">
        <v>2</v>
      </c>
      <c r="E43" s="17">
        <f>5.32-0.095-0.094-0.02-0.205-0.504-0.006-1.46-0.01-0.187-0.565-0.01-0.3</f>
        <v>1.8640000000000014</v>
      </c>
      <c r="F43" s="18">
        <f>74700+1000+4000</f>
        <v>79700</v>
      </c>
      <c r="N43" s="21"/>
      <c r="O43" s="22"/>
    </row>
    <row r="44" spans="1:15" s="10" customFormat="1" x14ac:dyDescent="0.25">
      <c r="A44" s="16">
        <v>48</v>
      </c>
      <c r="B44" s="16">
        <v>10</v>
      </c>
      <c r="C44" s="16">
        <v>20</v>
      </c>
      <c r="D44" s="16" t="s">
        <v>2</v>
      </c>
      <c r="E44" s="17">
        <v>5</v>
      </c>
      <c r="F44" s="18">
        <f>74700+1000+4000</f>
        <v>79700</v>
      </c>
      <c r="N44" s="21"/>
      <c r="O44" s="22"/>
    </row>
    <row r="45" spans="1:15" s="10" customFormat="1" x14ac:dyDescent="0.25">
      <c r="A45" s="16">
        <v>48.3</v>
      </c>
      <c r="B45" s="16">
        <v>3</v>
      </c>
      <c r="C45" s="16">
        <v>20</v>
      </c>
      <c r="D45" s="16" t="s">
        <v>2</v>
      </c>
      <c r="E45" s="17">
        <f>7.13-0.034+0.541+0.019-0.039-0.04-0.04-0.04-0.044-0.011-0.075</f>
        <v>7.3670000000000009</v>
      </c>
      <c r="F45" s="18">
        <f>74700+1000+4000</f>
        <v>79700</v>
      </c>
      <c r="N45" s="21"/>
      <c r="O45" s="22"/>
    </row>
    <row r="46" spans="1:15" s="10" customFormat="1" x14ac:dyDescent="0.25">
      <c r="A46" s="16">
        <v>48.3</v>
      </c>
      <c r="B46" s="16">
        <v>10</v>
      </c>
      <c r="C46" s="16" t="s">
        <v>8</v>
      </c>
      <c r="D46" s="16" t="s">
        <v>9</v>
      </c>
      <c r="E46" s="17">
        <f>1.076-0.713-0.01-0.063</f>
        <v>0.29000000000000009</v>
      </c>
      <c r="F46" s="18">
        <v>250000</v>
      </c>
      <c r="N46" s="21"/>
      <c r="O46" s="22"/>
    </row>
    <row r="47" spans="1:15" s="10" customFormat="1" x14ac:dyDescent="0.25">
      <c r="A47" s="16">
        <v>48.5</v>
      </c>
      <c r="B47" s="16">
        <v>7.6</v>
      </c>
      <c r="C47" s="16" t="s">
        <v>98</v>
      </c>
      <c r="D47" s="16" t="s">
        <v>99</v>
      </c>
      <c r="E47" s="17">
        <v>1.88</v>
      </c>
      <c r="F47" s="18">
        <v>85700</v>
      </c>
      <c r="N47" s="21"/>
      <c r="O47" s="22"/>
    </row>
    <row r="48" spans="1:15" s="10" customFormat="1" x14ac:dyDescent="0.25">
      <c r="A48" s="16">
        <v>50</v>
      </c>
      <c r="B48" s="16">
        <v>6</v>
      </c>
      <c r="C48" s="16">
        <v>20</v>
      </c>
      <c r="D48" s="16" t="s">
        <v>1</v>
      </c>
      <c r="E48" s="17">
        <f>3.32-0.315-0.016-1.2-0.66-0.054-0.495-0.007-0.014-0.05-0.105-0.011-0.051-0.052-0.051-0.102-0.06-0.05-0.018</f>
        <v>8.999999999999956E-3</v>
      </c>
      <c r="F48" s="18">
        <f>78000+1000</f>
        <v>79000</v>
      </c>
      <c r="N48" s="21"/>
      <c r="O48" s="22"/>
    </row>
    <row r="49" spans="1:15" s="10" customFormat="1" x14ac:dyDescent="0.25">
      <c r="A49" s="16">
        <v>50</v>
      </c>
      <c r="B49" s="16">
        <v>6</v>
      </c>
      <c r="C49" s="16">
        <v>20</v>
      </c>
      <c r="D49" s="16" t="s">
        <v>2</v>
      </c>
      <c r="E49" s="17">
        <v>5</v>
      </c>
      <c r="F49" s="18">
        <f t="shared" ref="F49:F55" si="0">74700+1000+4000</f>
        <v>79700</v>
      </c>
      <c r="N49" s="21"/>
      <c r="O49" s="22"/>
    </row>
    <row r="50" spans="1:15" s="10" customFormat="1" x14ac:dyDescent="0.25">
      <c r="A50" s="16">
        <v>50</v>
      </c>
      <c r="B50" s="16">
        <v>9</v>
      </c>
      <c r="C50" s="16">
        <v>20</v>
      </c>
      <c r="D50" s="16" t="s">
        <v>2</v>
      </c>
      <c r="E50" s="17">
        <v>2.9000000000000001E-2</v>
      </c>
      <c r="F50" s="18">
        <v>61700</v>
      </c>
      <c r="N50" s="21"/>
      <c r="O50" s="22"/>
    </row>
    <row r="51" spans="1:15" s="10" customFormat="1" x14ac:dyDescent="0.25">
      <c r="A51" s="16">
        <v>51</v>
      </c>
      <c r="B51" s="16">
        <v>3.5</v>
      </c>
      <c r="C51" s="16">
        <v>20</v>
      </c>
      <c r="D51" s="16" t="s">
        <v>2</v>
      </c>
      <c r="E51" s="17">
        <f>2.13-1.69-0.368+0.003</f>
        <v>7.4999999999999956E-2</v>
      </c>
      <c r="F51" s="18">
        <f t="shared" si="0"/>
        <v>79700</v>
      </c>
      <c r="N51" s="21"/>
      <c r="O51" s="22"/>
    </row>
    <row r="52" spans="1:15" s="10" customFormat="1" x14ac:dyDescent="0.25">
      <c r="A52" s="16">
        <v>51</v>
      </c>
      <c r="B52" s="16">
        <v>3.5</v>
      </c>
      <c r="C52" s="16">
        <v>20</v>
      </c>
      <c r="D52" s="16" t="s">
        <v>2</v>
      </c>
      <c r="E52" s="17">
        <f>1.56-0.052</f>
        <v>1.508</v>
      </c>
      <c r="F52" s="18">
        <f t="shared" si="0"/>
        <v>79700</v>
      </c>
      <c r="N52" s="21"/>
      <c r="O52" s="22"/>
    </row>
    <row r="53" spans="1:15" s="10" customFormat="1" x14ac:dyDescent="0.25">
      <c r="A53" s="16">
        <v>51</v>
      </c>
      <c r="B53" s="16">
        <v>4</v>
      </c>
      <c r="C53" s="16">
        <v>20</v>
      </c>
      <c r="D53" s="16" t="s">
        <v>2</v>
      </c>
      <c r="E53" s="17">
        <f>0.015</f>
        <v>1.4999999999999999E-2</v>
      </c>
      <c r="F53" s="18">
        <f t="shared" si="0"/>
        <v>79700</v>
      </c>
      <c r="N53" s="21"/>
      <c r="O53" s="22"/>
    </row>
    <row r="54" spans="1:15" s="10" customFormat="1" x14ac:dyDescent="0.25">
      <c r="A54" s="16">
        <v>51</v>
      </c>
      <c r="B54" s="16">
        <v>4</v>
      </c>
      <c r="C54" s="16">
        <v>20</v>
      </c>
      <c r="D54" s="16" t="s">
        <v>2</v>
      </c>
      <c r="E54" s="17">
        <v>5</v>
      </c>
      <c r="F54" s="18">
        <f t="shared" si="0"/>
        <v>79700</v>
      </c>
      <c r="N54" s="21"/>
      <c r="O54" s="22"/>
    </row>
    <row r="55" spans="1:15" s="10" customFormat="1" x14ac:dyDescent="0.25">
      <c r="A55" s="16">
        <v>51</v>
      </c>
      <c r="B55" s="16">
        <v>6</v>
      </c>
      <c r="C55" s="16">
        <v>20</v>
      </c>
      <c r="D55" s="16" t="s">
        <v>2</v>
      </c>
      <c r="E55" s="17">
        <f>7.98-0.409-0.57-0.23-2.06-0.47</f>
        <v>4.2410000000000005</v>
      </c>
      <c r="F55" s="18">
        <f t="shared" si="0"/>
        <v>79700</v>
      </c>
      <c r="N55" s="21"/>
      <c r="O55" s="22"/>
    </row>
    <row r="56" spans="1:15" s="10" customFormat="1" x14ac:dyDescent="0.25">
      <c r="A56" s="16">
        <v>51</v>
      </c>
      <c r="B56" s="16">
        <v>10</v>
      </c>
      <c r="C56" s="16" t="s">
        <v>7</v>
      </c>
      <c r="D56" s="16" t="s">
        <v>2</v>
      </c>
      <c r="E56" s="17">
        <v>5</v>
      </c>
      <c r="F56" s="18">
        <v>93700</v>
      </c>
      <c r="N56" s="21"/>
      <c r="O56" s="22"/>
    </row>
    <row r="57" spans="1:15" s="10" customFormat="1" x14ac:dyDescent="0.25">
      <c r="A57" s="16">
        <v>53</v>
      </c>
      <c r="B57" s="16">
        <v>8</v>
      </c>
      <c r="C57" s="16">
        <v>45</v>
      </c>
      <c r="D57" s="16" t="s">
        <v>1</v>
      </c>
      <c r="E57" s="17">
        <v>1.5</v>
      </c>
      <c r="F57" s="18">
        <v>100700</v>
      </c>
      <c r="N57" s="21"/>
      <c r="O57" s="22"/>
    </row>
    <row r="58" spans="1:15" s="10" customFormat="1" x14ac:dyDescent="0.25">
      <c r="A58" s="16">
        <v>54</v>
      </c>
      <c r="B58" s="16">
        <v>5</v>
      </c>
      <c r="C58" s="16" t="s">
        <v>7</v>
      </c>
      <c r="D58" s="16" t="s">
        <v>1</v>
      </c>
      <c r="E58" s="17">
        <f>1.925-0.1-0.019</f>
        <v>1.806</v>
      </c>
      <c r="F58" s="18">
        <f>92700+1000+6000</f>
        <v>99700</v>
      </c>
      <c r="N58" s="21"/>
      <c r="O58" s="22"/>
    </row>
    <row r="59" spans="1:15" s="10" customFormat="1" x14ac:dyDescent="0.25">
      <c r="A59" s="16">
        <v>54</v>
      </c>
      <c r="B59" s="16">
        <v>8</v>
      </c>
      <c r="C59" s="16" t="s">
        <v>7</v>
      </c>
      <c r="D59" s="16" t="s">
        <v>2</v>
      </c>
      <c r="E59" s="17">
        <v>5</v>
      </c>
      <c r="F59" s="18">
        <v>93700</v>
      </c>
      <c r="N59" s="21"/>
      <c r="O59" s="22"/>
    </row>
    <row r="60" spans="1:15" s="10" customFormat="1" x14ac:dyDescent="0.25">
      <c r="A60" s="16">
        <v>54</v>
      </c>
      <c r="B60" s="16">
        <v>10</v>
      </c>
      <c r="C60" s="16">
        <v>20</v>
      </c>
      <c r="D60" s="16" t="s">
        <v>2</v>
      </c>
      <c r="E60" s="17">
        <f>8.32-0.135-0.068-0.045-0.14-0.07-0.072-0.034-0.067-0.012-0.07-0.936-0.505-0.07</f>
        <v>6.096000000000001</v>
      </c>
      <c r="F60" s="18">
        <f>74700+1000+4000</f>
        <v>79700</v>
      </c>
      <c r="N60" s="21"/>
      <c r="O60" s="22"/>
    </row>
    <row r="61" spans="1:15" s="10" customFormat="1" x14ac:dyDescent="0.25">
      <c r="A61" s="16">
        <v>56</v>
      </c>
      <c r="B61" s="16">
        <v>8</v>
      </c>
      <c r="C61" s="16" t="s">
        <v>7</v>
      </c>
      <c r="D61" s="16" t="s">
        <v>2</v>
      </c>
      <c r="E61" s="17">
        <v>5</v>
      </c>
      <c r="F61" s="18">
        <v>93700</v>
      </c>
      <c r="N61" s="21"/>
      <c r="O61" s="22"/>
    </row>
    <row r="62" spans="1:15" s="10" customFormat="1" x14ac:dyDescent="0.25">
      <c r="A62" s="16">
        <v>57</v>
      </c>
      <c r="B62" s="16">
        <v>3.5</v>
      </c>
      <c r="C62" s="16">
        <v>20</v>
      </c>
      <c r="D62" s="16" t="s">
        <v>2</v>
      </c>
      <c r="E62" s="17">
        <v>4.8000000000000001E-2</v>
      </c>
      <c r="F62" s="18">
        <v>69700</v>
      </c>
      <c r="N62" s="21"/>
      <c r="O62" s="22"/>
    </row>
    <row r="63" spans="1:15" s="10" customFormat="1" x14ac:dyDescent="0.25">
      <c r="A63" s="16">
        <v>57</v>
      </c>
      <c r="B63" s="16">
        <v>4</v>
      </c>
      <c r="C63" s="16">
        <v>20</v>
      </c>
      <c r="D63" s="16" t="s">
        <v>2</v>
      </c>
      <c r="E63" s="17">
        <f>0.97-0.19-0.017-0.215-0.16-0.04-0.22-0.006</f>
        <v>0.12200000000000003</v>
      </c>
      <c r="F63" s="18">
        <f>65700+3000+1000</f>
        <v>69700</v>
      </c>
      <c r="N63" s="21"/>
      <c r="O63" s="22"/>
    </row>
    <row r="64" spans="1:15" s="10" customFormat="1" x14ac:dyDescent="0.25">
      <c r="A64" s="16">
        <v>57</v>
      </c>
      <c r="B64" s="16">
        <v>4</v>
      </c>
      <c r="C64" s="16" t="s">
        <v>0</v>
      </c>
      <c r="D64" s="16" t="s">
        <v>2</v>
      </c>
      <c r="E64" s="17">
        <f>0.022-0.011</f>
        <v>1.0999999999999999E-2</v>
      </c>
      <c r="F64" s="18">
        <f>68700+3000+1000</f>
        <v>72700</v>
      </c>
      <c r="N64" s="21"/>
      <c r="O64" s="22"/>
    </row>
    <row r="65" spans="1:15" s="10" customFormat="1" x14ac:dyDescent="0.25">
      <c r="A65" s="16">
        <v>57</v>
      </c>
      <c r="B65" s="16">
        <v>5</v>
      </c>
      <c r="C65" s="16">
        <v>20</v>
      </c>
      <c r="D65" s="16" t="s">
        <v>2</v>
      </c>
      <c r="E65" s="17">
        <f>0.86-0.591-0.023-0.053</f>
        <v>0.19300000000000003</v>
      </c>
      <c r="F65" s="18">
        <f>65700+3000+1000</f>
        <v>69700</v>
      </c>
      <c r="N65" s="21"/>
      <c r="O65" s="22"/>
    </row>
    <row r="66" spans="1:15" s="10" customFormat="1" x14ac:dyDescent="0.25">
      <c r="A66" s="16">
        <v>57</v>
      </c>
      <c r="B66" s="16">
        <v>5</v>
      </c>
      <c r="C66" s="16">
        <v>20</v>
      </c>
      <c r="D66" s="16" t="s">
        <v>2</v>
      </c>
      <c r="E66" s="17">
        <f>4.83-0.067-0.991-0.068-1.115-0.475</f>
        <v>2.1139999999999994</v>
      </c>
      <c r="F66" s="18">
        <f>65700+3000+1000</f>
        <v>69700</v>
      </c>
      <c r="N66" s="21"/>
      <c r="O66" s="22"/>
    </row>
    <row r="67" spans="1:15" s="10" customFormat="1" x14ac:dyDescent="0.25">
      <c r="A67" s="16">
        <v>57</v>
      </c>
      <c r="B67" s="16">
        <v>5</v>
      </c>
      <c r="C67" s="16" t="s">
        <v>0</v>
      </c>
      <c r="D67" s="16" t="s">
        <v>2</v>
      </c>
      <c r="E67" s="17">
        <f>1.89-0.065-0.027-0.009-0.017-0.028-0.008-0.067-0.173</f>
        <v>1.4960000000000002</v>
      </c>
      <c r="F67" s="18">
        <f>68700+3000+1000</f>
        <v>72700</v>
      </c>
      <c r="N67" s="21"/>
      <c r="O67" s="22"/>
    </row>
    <row r="68" spans="1:15" s="10" customFormat="1" x14ac:dyDescent="0.25">
      <c r="A68" s="16">
        <v>57</v>
      </c>
      <c r="B68" s="16">
        <v>5</v>
      </c>
      <c r="C68" s="16" t="s">
        <v>8</v>
      </c>
      <c r="D68" s="16" t="s">
        <v>9</v>
      </c>
      <c r="E68" s="17">
        <f>5.11-0.642-0.996-0.052-0.052-0.054-0.191-0.44-0.25</f>
        <v>2.4330000000000003</v>
      </c>
      <c r="F68" s="18">
        <v>199700</v>
      </c>
      <c r="N68" s="21"/>
      <c r="O68" s="22"/>
    </row>
    <row r="69" spans="1:15" s="10" customFormat="1" x14ac:dyDescent="0.25">
      <c r="A69" s="16">
        <v>57</v>
      </c>
      <c r="B69" s="16">
        <v>7</v>
      </c>
      <c r="C69" s="16">
        <v>20</v>
      </c>
      <c r="D69" s="16" t="s">
        <v>2</v>
      </c>
      <c r="E69" s="17">
        <f>5.35-0.53-0.222-0.009-0.285-0.06-0.331-0.018-0.37-0.05</f>
        <v>3.4749999999999992</v>
      </c>
      <c r="F69" s="18">
        <f>65700+3000+1000</f>
        <v>69700</v>
      </c>
      <c r="N69" s="21"/>
      <c r="O69" s="22"/>
    </row>
    <row r="70" spans="1:15" s="10" customFormat="1" x14ac:dyDescent="0.25">
      <c r="A70" s="16">
        <v>57</v>
      </c>
      <c r="B70" s="16">
        <v>8</v>
      </c>
      <c r="C70" s="16" t="s">
        <v>8</v>
      </c>
      <c r="D70" s="16" t="s">
        <v>9</v>
      </c>
      <c r="E70" s="17">
        <f>4.7-0.892-0.075-0.07-0.077-0.07-0.052-0.071-0.204</f>
        <v>3.1890000000000001</v>
      </c>
      <c r="F70" s="18">
        <v>199700</v>
      </c>
      <c r="N70" s="21"/>
      <c r="O70" s="22"/>
    </row>
    <row r="71" spans="1:15" s="10" customFormat="1" x14ac:dyDescent="0.25">
      <c r="A71" s="16">
        <v>57</v>
      </c>
      <c r="B71" s="16">
        <v>10</v>
      </c>
      <c r="C71" s="16">
        <v>20</v>
      </c>
      <c r="D71" s="16" t="s">
        <v>2</v>
      </c>
      <c r="E71" s="17">
        <f>5-0.097</f>
        <v>4.9029999999999996</v>
      </c>
      <c r="F71" s="18">
        <v>69700</v>
      </c>
      <c r="N71" s="21"/>
      <c r="O71" s="22"/>
    </row>
    <row r="72" spans="1:15" s="10" customFormat="1" x14ac:dyDescent="0.25">
      <c r="A72" s="16">
        <v>57</v>
      </c>
      <c r="B72" s="16">
        <v>10</v>
      </c>
      <c r="C72" s="16">
        <v>35</v>
      </c>
      <c r="D72" s="16" t="s">
        <v>2</v>
      </c>
      <c r="E72" s="17">
        <v>5</v>
      </c>
      <c r="F72" s="18">
        <f>69700+1000</f>
        <v>70700</v>
      </c>
      <c r="N72" s="21"/>
      <c r="O72" s="22"/>
    </row>
    <row r="73" spans="1:15" s="10" customFormat="1" x14ac:dyDescent="0.25">
      <c r="A73" s="16">
        <v>57</v>
      </c>
      <c r="B73" s="16">
        <v>11</v>
      </c>
      <c r="C73" s="16">
        <v>45</v>
      </c>
      <c r="D73" s="16" t="s">
        <v>2</v>
      </c>
      <c r="E73" s="17">
        <v>4.1399999999999997</v>
      </c>
      <c r="F73" s="18">
        <f>66700+3000+1000</f>
        <v>70700</v>
      </c>
      <c r="N73" s="21"/>
      <c r="O73" s="22"/>
    </row>
    <row r="74" spans="1:15" s="10" customFormat="1" x14ac:dyDescent="0.25">
      <c r="A74" s="16">
        <v>57</v>
      </c>
      <c r="B74" s="16">
        <v>12</v>
      </c>
      <c r="C74" s="16">
        <v>20</v>
      </c>
      <c r="D74" s="16" t="s">
        <v>2</v>
      </c>
      <c r="E74" s="17">
        <f>6.86-0.197-0.5-0.013-0.014-0.021-0.201-0.194-0.115-0.051-1.035-2.05-0.094-2.111-0.115-0.105-0.048+0.151-0.051</f>
        <v>9.6000000000000252E-2</v>
      </c>
      <c r="F74" s="18">
        <f>65700+3000+1000</f>
        <v>69700</v>
      </c>
      <c r="N74" s="21"/>
      <c r="O74" s="22"/>
    </row>
    <row r="75" spans="1:15" s="10" customFormat="1" x14ac:dyDescent="0.25">
      <c r="A75" s="16">
        <v>57</v>
      </c>
      <c r="B75" s="16">
        <v>12</v>
      </c>
      <c r="C75" s="16">
        <v>45</v>
      </c>
      <c r="D75" s="16" t="s">
        <v>2</v>
      </c>
      <c r="E75" s="17">
        <v>5.89</v>
      </c>
      <c r="F75" s="18">
        <f>69700+1000</f>
        <v>70700</v>
      </c>
      <c r="N75" s="21"/>
      <c r="O75" s="22"/>
    </row>
    <row r="76" spans="1:15" s="10" customFormat="1" x14ac:dyDescent="0.25">
      <c r="A76" s="16">
        <v>57</v>
      </c>
      <c r="B76" s="16">
        <v>12</v>
      </c>
      <c r="C76" s="16" t="s">
        <v>5</v>
      </c>
      <c r="D76" s="16" t="s">
        <v>2</v>
      </c>
      <c r="E76" s="17">
        <v>5.27</v>
      </c>
      <c r="F76" s="18">
        <f>78700+3000+1000</f>
        <v>82700</v>
      </c>
      <c r="N76" s="21"/>
      <c r="O76" s="22"/>
    </row>
    <row r="77" spans="1:15" s="10" customFormat="1" x14ac:dyDescent="0.25">
      <c r="A77" s="16">
        <v>57</v>
      </c>
      <c r="B77" s="16">
        <v>12</v>
      </c>
      <c r="C77" s="16" t="s">
        <v>0</v>
      </c>
      <c r="D77" s="16" t="s">
        <v>2</v>
      </c>
      <c r="E77" s="17">
        <f>5.17-0.007-4.485-0.105</f>
        <v>0.57299999999999995</v>
      </c>
      <c r="F77" s="18">
        <f>68700+3000+1000</f>
        <v>72700</v>
      </c>
      <c r="N77" s="21"/>
      <c r="O77" s="22"/>
    </row>
    <row r="78" spans="1:15" s="10" customFormat="1" x14ac:dyDescent="0.25">
      <c r="A78" s="16">
        <v>57</v>
      </c>
      <c r="B78" s="16">
        <v>12</v>
      </c>
      <c r="C78" s="16" t="s">
        <v>3</v>
      </c>
      <c r="D78" s="16" t="s">
        <v>4</v>
      </c>
      <c r="E78" s="17">
        <v>1.0580000000000001</v>
      </c>
      <c r="F78" s="18">
        <v>157700</v>
      </c>
      <c r="N78" s="21"/>
      <c r="O78" s="22"/>
    </row>
    <row r="79" spans="1:15" s="10" customFormat="1" x14ac:dyDescent="0.25">
      <c r="A79" s="16">
        <v>60</v>
      </c>
      <c r="B79" s="16">
        <v>3</v>
      </c>
      <c r="C79" s="16">
        <v>20</v>
      </c>
      <c r="D79" s="16" t="s">
        <v>2</v>
      </c>
      <c r="E79" s="17">
        <v>0.157</v>
      </c>
      <c r="F79" s="18">
        <f>68700+1000</f>
        <v>69700</v>
      </c>
      <c r="N79" s="21"/>
      <c r="O79" s="22"/>
    </row>
    <row r="80" spans="1:15" s="10" customFormat="1" x14ac:dyDescent="0.25">
      <c r="A80" s="16">
        <v>60</v>
      </c>
      <c r="B80" s="16">
        <v>4</v>
      </c>
      <c r="C80" s="16">
        <v>10</v>
      </c>
      <c r="D80" s="16" t="s">
        <v>2</v>
      </c>
      <c r="E80" s="17">
        <f>5.38-2.02-0.065</f>
        <v>3.2949999999999999</v>
      </c>
      <c r="F80" s="18">
        <f>65700+3000+1000</f>
        <v>69700</v>
      </c>
      <c r="N80" s="21"/>
      <c r="O80" s="22"/>
    </row>
    <row r="81" spans="1:15" s="10" customFormat="1" x14ac:dyDescent="0.25">
      <c r="A81" s="16">
        <v>60</v>
      </c>
      <c r="B81" s="16">
        <v>4</v>
      </c>
      <c r="C81" s="16">
        <v>20</v>
      </c>
      <c r="D81" s="16" t="s">
        <v>2</v>
      </c>
      <c r="E81" s="17">
        <v>1.9950000000000001</v>
      </c>
      <c r="F81" s="18">
        <f>65700+3000+1000</f>
        <v>69700</v>
      </c>
      <c r="N81" s="21"/>
      <c r="O81" s="22"/>
    </row>
    <row r="82" spans="1:15" s="10" customFormat="1" ht="15" customHeight="1" x14ac:dyDescent="0.25">
      <c r="A82" s="16">
        <v>60</v>
      </c>
      <c r="B82" s="16">
        <v>4</v>
      </c>
      <c r="C82" s="16">
        <v>20</v>
      </c>
      <c r="D82" s="16" t="s">
        <v>2</v>
      </c>
      <c r="E82" s="17">
        <f>3.655-0.195-0.018-0.017</f>
        <v>3.4250000000000003</v>
      </c>
      <c r="F82" s="18">
        <f>65700+3000+1000</f>
        <v>69700</v>
      </c>
      <c r="N82" s="21"/>
      <c r="O82" s="22"/>
    </row>
    <row r="83" spans="1:15" s="10" customFormat="1" x14ac:dyDescent="0.25">
      <c r="A83" s="16">
        <v>60</v>
      </c>
      <c r="B83" s="16">
        <v>4</v>
      </c>
      <c r="C83" s="16">
        <v>20</v>
      </c>
      <c r="D83" s="16" t="s">
        <v>2</v>
      </c>
      <c r="E83" s="17">
        <f>0.47-0.054</f>
        <v>0.41599999999999998</v>
      </c>
      <c r="F83" s="18">
        <f>68700+1000</f>
        <v>69700</v>
      </c>
      <c r="N83" s="21"/>
      <c r="O83" s="22"/>
    </row>
    <row r="84" spans="1:15" s="10" customFormat="1" x14ac:dyDescent="0.25">
      <c r="A84" s="16">
        <v>60</v>
      </c>
      <c r="B84" s="16">
        <v>4</v>
      </c>
      <c r="C84" s="16" t="s">
        <v>0</v>
      </c>
      <c r="D84" s="16" t="s">
        <v>2</v>
      </c>
      <c r="E84" s="17">
        <f>4.8-2.295-0.06-0.225+0.19-2.009-0.105</f>
        <v>0.29599999999999982</v>
      </c>
      <c r="F84" s="18">
        <f>68700+3000+1000</f>
        <v>72700</v>
      </c>
      <c r="N84" s="21"/>
      <c r="O84" s="22"/>
    </row>
    <row r="85" spans="1:15" s="10" customFormat="1" x14ac:dyDescent="0.25">
      <c r="A85" s="16">
        <v>60</v>
      </c>
      <c r="B85" s="16">
        <v>4</v>
      </c>
      <c r="C85" s="16" t="s">
        <v>0</v>
      </c>
      <c r="D85" s="16" t="s">
        <v>85</v>
      </c>
      <c r="E85" s="17">
        <v>5</v>
      </c>
      <c r="F85" s="18">
        <f>68700+3000+1000</f>
        <v>72700</v>
      </c>
      <c r="N85" s="21"/>
      <c r="O85" s="22"/>
    </row>
    <row r="86" spans="1:15" s="10" customFormat="1" x14ac:dyDescent="0.25">
      <c r="A86" s="16">
        <v>60</v>
      </c>
      <c r="B86" s="16">
        <v>5</v>
      </c>
      <c r="C86" s="16" t="s">
        <v>7</v>
      </c>
      <c r="D86" s="16" t="s">
        <v>2</v>
      </c>
      <c r="E86" s="17">
        <v>4.71</v>
      </c>
      <c r="F86" s="18">
        <f>81700+1000</f>
        <v>82700</v>
      </c>
      <c r="N86" s="21"/>
      <c r="O86" s="22"/>
    </row>
    <row r="87" spans="1:15" s="10" customFormat="1" x14ac:dyDescent="0.25">
      <c r="A87" s="16">
        <v>60</v>
      </c>
      <c r="B87" s="16">
        <v>6</v>
      </c>
      <c r="C87" s="16">
        <v>20</v>
      </c>
      <c r="D87" s="16" t="s">
        <v>2</v>
      </c>
      <c r="E87" s="17">
        <v>4.2999999999999997E-2</v>
      </c>
      <c r="F87" s="18">
        <f>65700+3000+1000</f>
        <v>69700</v>
      </c>
      <c r="N87" s="21"/>
      <c r="O87" s="22"/>
    </row>
    <row r="88" spans="1:15" s="10" customFormat="1" x14ac:dyDescent="0.25">
      <c r="A88" s="16">
        <v>60</v>
      </c>
      <c r="B88" s="16">
        <v>6</v>
      </c>
      <c r="C88" s="16" t="s">
        <v>0</v>
      </c>
      <c r="D88" s="16" t="s">
        <v>85</v>
      </c>
      <c r="E88" s="17">
        <v>5</v>
      </c>
      <c r="F88" s="18">
        <v>72700</v>
      </c>
      <c r="N88" s="21"/>
      <c r="O88" s="22"/>
    </row>
    <row r="89" spans="1:15" s="10" customFormat="1" x14ac:dyDescent="0.25">
      <c r="A89" s="16">
        <v>60</v>
      </c>
      <c r="B89" s="19">
        <v>6</v>
      </c>
      <c r="C89" s="16" t="s">
        <v>7</v>
      </c>
      <c r="D89" s="16" t="s">
        <v>2</v>
      </c>
      <c r="E89" s="17">
        <f>3.069-0.265-0.171-0.009-0.025-0.095-0.037</f>
        <v>2.4670000000000001</v>
      </c>
      <c r="F89" s="18">
        <f>78700+3000+1000</f>
        <v>82700</v>
      </c>
      <c r="N89" s="21"/>
      <c r="O89" s="22"/>
    </row>
    <row r="90" spans="1:15" s="10" customFormat="1" x14ac:dyDescent="0.25">
      <c r="A90" s="16">
        <v>60</v>
      </c>
      <c r="B90" s="16">
        <v>10</v>
      </c>
      <c r="C90" s="16" t="s">
        <v>5</v>
      </c>
      <c r="D90" s="16" t="s">
        <v>2</v>
      </c>
      <c r="E90" s="17">
        <f>5.16-0.29-0.491-0.193</f>
        <v>4.1860000000000008</v>
      </c>
      <c r="F90" s="18">
        <f>81700+1000</f>
        <v>82700</v>
      </c>
      <c r="N90" s="21"/>
      <c r="O90" s="22"/>
    </row>
    <row r="91" spans="1:15" s="10" customFormat="1" x14ac:dyDescent="0.25">
      <c r="A91" s="16">
        <v>60</v>
      </c>
      <c r="B91" s="16">
        <v>11</v>
      </c>
      <c r="C91" s="16">
        <v>20</v>
      </c>
      <c r="D91" s="16" t="s">
        <v>2</v>
      </c>
      <c r="E91" s="17">
        <f>1.78-0.105-0.105-0.505-0.32-0.2-0.203-0.202-0.102-0.095+0.057+0.023-0.014</f>
        <v>8.9999999999999091E-3</v>
      </c>
      <c r="F91" s="18">
        <f>65700+3000+1000</f>
        <v>69700</v>
      </c>
      <c r="N91" s="21"/>
      <c r="O91" s="22"/>
    </row>
    <row r="92" spans="1:15" s="10" customFormat="1" ht="15" customHeight="1" x14ac:dyDescent="0.25">
      <c r="A92" s="16">
        <v>60</v>
      </c>
      <c r="B92" s="16">
        <v>11</v>
      </c>
      <c r="C92" s="16">
        <v>20</v>
      </c>
      <c r="D92" s="16" t="s">
        <v>2</v>
      </c>
      <c r="E92" s="17">
        <f>0.166-0.067-0.084</f>
        <v>1.4999999999999999E-2</v>
      </c>
      <c r="F92" s="18">
        <f>68700+1000</f>
        <v>69700</v>
      </c>
      <c r="N92" s="21"/>
      <c r="O92" s="22"/>
    </row>
    <row r="93" spans="1:15" s="10" customFormat="1" x14ac:dyDescent="0.25">
      <c r="A93" s="16">
        <v>60</v>
      </c>
      <c r="B93" s="16">
        <v>11</v>
      </c>
      <c r="C93" s="16">
        <v>20</v>
      </c>
      <c r="D93" s="16" t="s">
        <v>2</v>
      </c>
      <c r="E93" s="17">
        <f>1.04-0.011-0.028-0.598-0.08-0.041-0.074-0.035</f>
        <v>0.17300000000000013</v>
      </c>
      <c r="F93" s="18">
        <f>68700+1000</f>
        <v>69700</v>
      </c>
      <c r="N93" s="21"/>
      <c r="O93" s="22"/>
    </row>
    <row r="94" spans="1:15" s="10" customFormat="1" x14ac:dyDescent="0.25">
      <c r="A94" s="16">
        <v>60</v>
      </c>
      <c r="B94" s="16">
        <v>11</v>
      </c>
      <c r="C94" s="16">
        <v>20</v>
      </c>
      <c r="D94" s="16" t="s">
        <v>2</v>
      </c>
      <c r="E94" s="17">
        <f>3.93-0.165-0.223-0.152-0.24-0.787-0.158</f>
        <v>2.2050000000000005</v>
      </c>
      <c r="F94" s="18">
        <f>68700+1000</f>
        <v>69700</v>
      </c>
      <c r="N94" s="21"/>
      <c r="O94" s="22"/>
    </row>
    <row r="95" spans="1:15" s="10" customFormat="1" x14ac:dyDescent="0.25">
      <c r="A95" s="16">
        <v>60</v>
      </c>
      <c r="B95" s="16">
        <v>11</v>
      </c>
      <c r="C95" s="16">
        <v>45</v>
      </c>
      <c r="D95" s="16" t="s">
        <v>2</v>
      </c>
      <c r="E95" s="17">
        <f>5.6-0.224-0.238-1.818-1.192-1.654-0.118</f>
        <v>0.35600000000000021</v>
      </c>
      <c r="F95" s="18">
        <f>66700+3000+1000</f>
        <v>70700</v>
      </c>
      <c r="N95" s="21"/>
      <c r="O95" s="22"/>
    </row>
    <row r="96" spans="1:15" s="10" customFormat="1" x14ac:dyDescent="0.25">
      <c r="A96" s="16">
        <v>60</v>
      </c>
      <c r="B96" s="16">
        <v>11</v>
      </c>
      <c r="C96" s="16">
        <v>45</v>
      </c>
      <c r="D96" s="16" t="s">
        <v>2</v>
      </c>
      <c r="E96" s="17">
        <f>0.198-0.013-0.085</f>
        <v>9.9999999999999992E-2</v>
      </c>
      <c r="F96" s="18">
        <f>66700+3000+1000</f>
        <v>70700</v>
      </c>
      <c r="N96" s="21"/>
      <c r="O96" s="22"/>
    </row>
    <row r="97" spans="1:15" s="10" customFormat="1" x14ac:dyDescent="0.25">
      <c r="A97" s="16">
        <v>60</v>
      </c>
      <c r="B97" s="16">
        <v>11</v>
      </c>
      <c r="C97" s="16">
        <v>45</v>
      </c>
      <c r="D97" s="16" t="s">
        <v>2</v>
      </c>
      <c r="E97" s="17">
        <v>5</v>
      </c>
      <c r="F97" s="18">
        <f>69700+1000</f>
        <v>70700</v>
      </c>
      <c r="N97" s="21"/>
      <c r="O97" s="22"/>
    </row>
    <row r="98" spans="1:15" s="10" customFormat="1" x14ac:dyDescent="0.25">
      <c r="A98" s="16">
        <v>60</v>
      </c>
      <c r="B98" s="16">
        <v>14</v>
      </c>
      <c r="C98" s="16" t="s">
        <v>7</v>
      </c>
      <c r="D98" s="16" t="s">
        <v>2</v>
      </c>
      <c r="E98" s="17">
        <v>5</v>
      </c>
      <c r="F98" s="18">
        <f>81700+1000</f>
        <v>82700</v>
      </c>
      <c r="N98" s="21"/>
      <c r="O98" s="22"/>
    </row>
    <row r="99" spans="1:15" s="10" customFormat="1" x14ac:dyDescent="0.25">
      <c r="A99" s="16">
        <v>63</v>
      </c>
      <c r="B99" s="16">
        <v>3.5</v>
      </c>
      <c r="C99" s="16">
        <v>20</v>
      </c>
      <c r="D99" s="16" t="s">
        <v>1</v>
      </c>
      <c r="E99" s="17">
        <f>5.92-1.08-0.035-0.006-0.07-0.6</f>
        <v>4.1289999999999996</v>
      </c>
      <c r="F99" s="18">
        <f>84700+1000</f>
        <v>85700</v>
      </c>
      <c r="N99" s="21"/>
      <c r="O99" s="22"/>
    </row>
    <row r="100" spans="1:15" s="10" customFormat="1" x14ac:dyDescent="0.25">
      <c r="A100" s="16">
        <v>63.5</v>
      </c>
      <c r="B100" s="16">
        <v>6</v>
      </c>
      <c r="C100" s="16" t="s">
        <v>0</v>
      </c>
      <c r="D100" s="16" t="s">
        <v>2</v>
      </c>
      <c r="E100" s="17">
        <f>5.26-0.035-2.59-0.04-0.08</f>
        <v>2.5149999999999997</v>
      </c>
      <c r="F100" s="18">
        <f>68700+3000+1000</f>
        <v>72700</v>
      </c>
      <c r="N100" s="21"/>
      <c r="O100" s="22"/>
    </row>
    <row r="101" spans="1:15" s="10" customFormat="1" x14ac:dyDescent="0.25">
      <c r="A101" s="16">
        <v>63.5</v>
      </c>
      <c r="B101" s="16">
        <v>6</v>
      </c>
      <c r="C101" s="16" t="s">
        <v>0</v>
      </c>
      <c r="D101" s="16" t="s">
        <v>2</v>
      </c>
      <c r="E101" s="17">
        <f>5.27-0.02-1.86-1.49-0.08-0.052-0.468-0.025-0.044-0.032-0.054-0.08-0.11-0.023</f>
        <v>0.9319999999999995</v>
      </c>
      <c r="F101" s="18">
        <f>68700+3000+1000</f>
        <v>72700</v>
      </c>
      <c r="N101" s="21"/>
      <c r="O101" s="22"/>
    </row>
    <row r="102" spans="1:15" s="10" customFormat="1" x14ac:dyDescent="0.25">
      <c r="A102" s="16">
        <v>63.5</v>
      </c>
      <c r="B102" s="16">
        <v>8</v>
      </c>
      <c r="C102" s="16">
        <v>20</v>
      </c>
      <c r="D102" s="16" t="s">
        <v>2</v>
      </c>
      <c r="E102" s="17">
        <v>5.33</v>
      </c>
      <c r="F102" s="18">
        <f>65700+3000+1000</f>
        <v>69700</v>
      </c>
      <c r="N102" s="21"/>
      <c r="O102" s="22"/>
    </row>
    <row r="103" spans="1:15" s="10" customFormat="1" x14ac:dyDescent="0.25">
      <c r="A103" s="16">
        <v>63.5</v>
      </c>
      <c r="B103" s="16">
        <v>8</v>
      </c>
      <c r="C103" s="16" t="s">
        <v>7</v>
      </c>
      <c r="D103" s="16" t="s">
        <v>2</v>
      </c>
      <c r="E103" s="17">
        <f>5.22-0.017-0.099-1.19-0.074</f>
        <v>3.8399999999999994</v>
      </c>
      <c r="F103" s="18">
        <f>78700+3000+1000</f>
        <v>82700</v>
      </c>
      <c r="N103" s="21"/>
      <c r="O103" s="22"/>
    </row>
    <row r="104" spans="1:15" s="10" customFormat="1" x14ac:dyDescent="0.25">
      <c r="A104" s="16">
        <v>63.5</v>
      </c>
      <c r="B104" s="16">
        <v>12</v>
      </c>
      <c r="C104" s="16">
        <v>45</v>
      </c>
      <c r="D104" s="16" t="s">
        <v>2</v>
      </c>
      <c r="E104" s="17">
        <v>4.99</v>
      </c>
      <c r="F104" s="18">
        <f>69700+1000</f>
        <v>70700</v>
      </c>
      <c r="N104" s="21"/>
      <c r="O104" s="22"/>
    </row>
    <row r="105" spans="1:15" s="10" customFormat="1" x14ac:dyDescent="0.25">
      <c r="A105" s="16">
        <v>68</v>
      </c>
      <c r="B105" s="16">
        <v>4</v>
      </c>
      <c r="C105" s="16">
        <v>20</v>
      </c>
      <c r="D105" s="16" t="s">
        <v>2</v>
      </c>
      <c r="E105" s="17">
        <v>4.96</v>
      </c>
      <c r="F105" s="18">
        <f>65700+3000+1000</f>
        <v>69700</v>
      </c>
      <c r="N105" s="21"/>
      <c r="O105" s="22"/>
    </row>
    <row r="106" spans="1:15" s="10" customFormat="1" x14ac:dyDescent="0.25">
      <c r="A106" s="16">
        <v>68</v>
      </c>
      <c r="B106" s="16">
        <v>10</v>
      </c>
      <c r="C106" s="16">
        <v>20</v>
      </c>
      <c r="D106" s="16" t="s">
        <v>2</v>
      </c>
      <c r="E106" s="17">
        <f>0.624-0.375-0.126</f>
        <v>0.123</v>
      </c>
      <c r="F106" s="18">
        <f>65700+3000+1000</f>
        <v>69700</v>
      </c>
      <c r="N106" s="21"/>
      <c r="O106" s="22"/>
    </row>
    <row r="107" spans="1:15" s="10" customFormat="1" x14ac:dyDescent="0.25">
      <c r="A107" s="16">
        <v>68</v>
      </c>
      <c r="B107" s="16">
        <v>10</v>
      </c>
      <c r="C107" s="16">
        <v>20</v>
      </c>
      <c r="D107" s="16" t="s">
        <v>2</v>
      </c>
      <c r="E107" s="17">
        <f>4.76-0.095-0.214-0.105-0.04-0.01-0.108-0.04-0.315-0.025-0.106-0.425-0.097-0.525</f>
        <v>2.6550000000000002</v>
      </c>
      <c r="F107" s="18">
        <f>65700+3000+1000</f>
        <v>69700</v>
      </c>
      <c r="N107" s="21"/>
      <c r="O107" s="22"/>
    </row>
    <row r="108" spans="1:15" s="10" customFormat="1" x14ac:dyDescent="0.25">
      <c r="A108" s="16">
        <v>68</v>
      </c>
      <c r="B108" s="16">
        <v>10</v>
      </c>
      <c r="C108" s="16" t="s">
        <v>0</v>
      </c>
      <c r="D108" s="16" t="s">
        <v>2</v>
      </c>
      <c r="E108" s="17">
        <f>5.16-0.259-0.262-0.015-0.12-0.058-0.65-2.091</f>
        <v>1.7049999999999996</v>
      </c>
      <c r="F108" s="18">
        <f>68700+3000+1000</f>
        <v>72700</v>
      </c>
      <c r="N108" s="21"/>
      <c r="O108" s="22"/>
    </row>
    <row r="109" spans="1:15" s="10" customFormat="1" x14ac:dyDescent="0.25">
      <c r="A109" s="16">
        <v>68</v>
      </c>
      <c r="B109" s="16">
        <v>14</v>
      </c>
      <c r="C109" s="16">
        <v>20</v>
      </c>
      <c r="D109" s="16" t="s">
        <v>2</v>
      </c>
      <c r="E109" s="17">
        <f>4.866-0.133-0.029-0.655-0.265</f>
        <v>3.7839999999999994</v>
      </c>
      <c r="F109" s="18">
        <f>65700+3000+1000</f>
        <v>69700</v>
      </c>
      <c r="N109" s="21"/>
      <c r="O109" s="22"/>
    </row>
    <row r="110" spans="1:15" s="10" customFormat="1" x14ac:dyDescent="0.25">
      <c r="A110" s="16">
        <v>68</v>
      </c>
      <c r="B110" s="16">
        <v>14</v>
      </c>
      <c r="C110" s="16">
        <v>35</v>
      </c>
      <c r="D110" s="16" t="s">
        <v>2</v>
      </c>
      <c r="E110" s="17">
        <f>4.754-1</f>
        <v>3.7539999999999996</v>
      </c>
      <c r="F110" s="18">
        <f>66700+3000+1000</f>
        <v>70700</v>
      </c>
      <c r="N110" s="21"/>
      <c r="O110" s="22"/>
    </row>
    <row r="111" spans="1:15" s="10" customFormat="1" x14ac:dyDescent="0.25">
      <c r="A111" s="16">
        <v>68</v>
      </c>
      <c r="B111" s="16">
        <v>14</v>
      </c>
      <c r="C111" s="16" t="s">
        <v>7</v>
      </c>
      <c r="D111" s="16" t="s">
        <v>2</v>
      </c>
      <c r="E111" s="17">
        <f>5.49-3.07-0.126</f>
        <v>2.2940000000000005</v>
      </c>
      <c r="F111" s="18">
        <f>81700+1000</f>
        <v>82700</v>
      </c>
      <c r="N111" s="21"/>
      <c r="O111" s="22"/>
    </row>
    <row r="112" spans="1:15" s="10" customFormat="1" x14ac:dyDescent="0.25">
      <c r="A112" s="16">
        <v>68</v>
      </c>
      <c r="B112" s="16">
        <v>16</v>
      </c>
      <c r="C112" s="16" t="s">
        <v>7</v>
      </c>
      <c r="D112" s="16" t="s">
        <v>2</v>
      </c>
      <c r="E112" s="17">
        <f>5.02-0.13-0.163-0.023-0.139-2.37-0.652-0.109</f>
        <v>1.4339999999999993</v>
      </c>
      <c r="F112" s="18">
        <f>78700+3000+1000</f>
        <v>82700</v>
      </c>
      <c r="N112" s="21"/>
      <c r="O112" s="22"/>
    </row>
    <row r="113" spans="1:15" s="10" customFormat="1" x14ac:dyDescent="0.25">
      <c r="A113" s="16">
        <v>69.5</v>
      </c>
      <c r="B113" s="16">
        <v>10.7</v>
      </c>
      <c r="C113" s="16" t="s">
        <v>98</v>
      </c>
      <c r="D113" s="16" t="s">
        <v>99</v>
      </c>
      <c r="E113" s="17">
        <v>5.87</v>
      </c>
      <c r="F113" s="18">
        <v>85700</v>
      </c>
      <c r="N113" s="21"/>
      <c r="O113" s="22"/>
    </row>
    <row r="114" spans="1:15" s="10" customFormat="1" x14ac:dyDescent="0.25">
      <c r="A114" s="16">
        <v>70</v>
      </c>
      <c r="B114" s="16">
        <v>4.5</v>
      </c>
      <c r="C114" s="16" t="s">
        <v>0</v>
      </c>
      <c r="D114" s="16" t="s">
        <v>2</v>
      </c>
      <c r="E114" s="17">
        <f>3.45-0.07-0.072-0.073-0.93-0.08-0.785-0.144-0.365</f>
        <v>0.93100000000000005</v>
      </c>
      <c r="F114" s="18">
        <f>68700+3000+1000</f>
        <v>72700</v>
      </c>
      <c r="N114" s="21"/>
      <c r="O114" s="22"/>
    </row>
    <row r="115" spans="1:15" s="10" customFormat="1" x14ac:dyDescent="0.25">
      <c r="A115" s="16">
        <v>70</v>
      </c>
      <c r="B115" s="16">
        <v>12</v>
      </c>
      <c r="C115" s="16">
        <v>45</v>
      </c>
      <c r="D115" s="16" t="s">
        <v>2</v>
      </c>
      <c r="E115" s="17">
        <f>5.084-0.205-0.508-0.635-0.018-0.128-0.38-0.044-0.25-0.036-0.381-0.128-0.255-0.13-0.211-0.128-0.027-0.106</f>
        <v>1.5139999999999998</v>
      </c>
      <c r="F115" s="18">
        <f>66700+3000+1000</f>
        <v>70700</v>
      </c>
      <c r="N115" s="21"/>
      <c r="O115" s="22"/>
    </row>
    <row r="116" spans="1:15" s="10" customFormat="1" x14ac:dyDescent="0.25">
      <c r="A116" s="16">
        <v>70</v>
      </c>
      <c r="B116" s="16">
        <v>12</v>
      </c>
      <c r="C116" s="16">
        <v>45</v>
      </c>
      <c r="D116" s="16" t="s">
        <v>2</v>
      </c>
      <c r="E116" s="17">
        <v>0.13</v>
      </c>
      <c r="F116" s="18">
        <f>66700+3000+1000</f>
        <v>70700</v>
      </c>
      <c r="N116" s="21"/>
      <c r="O116" s="22"/>
    </row>
    <row r="117" spans="1:15" s="10" customFormat="1" x14ac:dyDescent="0.25">
      <c r="A117" s="16">
        <v>70</v>
      </c>
      <c r="B117" s="16">
        <v>12</v>
      </c>
      <c r="C117" s="16">
        <v>45</v>
      </c>
      <c r="D117" s="16" t="s">
        <v>2</v>
      </c>
      <c r="E117" s="17">
        <f>0.95-0.33</f>
        <v>0.61999999999999988</v>
      </c>
      <c r="F117" s="18">
        <f>69700+1000</f>
        <v>70700</v>
      </c>
      <c r="N117" s="21"/>
      <c r="O117" s="22"/>
    </row>
    <row r="118" spans="1:15" s="10" customFormat="1" x14ac:dyDescent="0.25">
      <c r="A118" s="16">
        <v>70</v>
      </c>
      <c r="B118" s="16">
        <v>12</v>
      </c>
      <c r="C118" s="16">
        <v>45</v>
      </c>
      <c r="D118" s="16" t="s">
        <v>2</v>
      </c>
      <c r="E118" s="17">
        <v>4.51</v>
      </c>
      <c r="F118" s="18">
        <f>69700+1000</f>
        <v>70700</v>
      </c>
      <c r="N118" s="21"/>
      <c r="O118" s="22"/>
    </row>
    <row r="119" spans="1:15" s="10" customFormat="1" x14ac:dyDescent="0.25">
      <c r="A119" s="16">
        <v>70</v>
      </c>
      <c r="B119" s="16">
        <v>12</v>
      </c>
      <c r="C119" s="16" t="s">
        <v>5</v>
      </c>
      <c r="D119" s="16" t="s">
        <v>2</v>
      </c>
      <c r="E119" s="17">
        <v>7.4</v>
      </c>
      <c r="F119" s="18">
        <v>82700</v>
      </c>
      <c r="N119" s="21"/>
      <c r="O119" s="22"/>
    </row>
    <row r="120" spans="1:15" s="10" customFormat="1" x14ac:dyDescent="0.25">
      <c r="A120" s="16">
        <v>70</v>
      </c>
      <c r="B120" s="16">
        <v>14</v>
      </c>
      <c r="C120" s="16">
        <v>20</v>
      </c>
      <c r="D120" s="16" t="s">
        <v>2</v>
      </c>
      <c r="E120" s="17">
        <f>4.2-0.144</f>
        <v>4.056</v>
      </c>
      <c r="F120" s="18">
        <v>69700</v>
      </c>
      <c r="N120" s="21"/>
      <c r="O120" s="22"/>
    </row>
    <row r="121" spans="1:15" s="10" customFormat="1" x14ac:dyDescent="0.25">
      <c r="A121" s="16">
        <v>70</v>
      </c>
      <c r="B121" s="16">
        <v>14</v>
      </c>
      <c r="C121" s="16">
        <v>20</v>
      </c>
      <c r="D121" s="16" t="s">
        <v>2</v>
      </c>
      <c r="E121" s="17">
        <f>11.85-0.125</f>
        <v>11.725</v>
      </c>
      <c r="F121" s="18">
        <v>69700</v>
      </c>
      <c r="N121" s="21"/>
      <c r="O121" s="22"/>
    </row>
    <row r="122" spans="1:15" s="10" customFormat="1" x14ac:dyDescent="0.25">
      <c r="A122" s="16">
        <v>73</v>
      </c>
      <c r="B122" s="16">
        <v>5.5</v>
      </c>
      <c r="C122" s="16" t="s">
        <v>20</v>
      </c>
      <c r="D122" s="16" t="s">
        <v>2</v>
      </c>
      <c r="E122" s="17">
        <v>0.09</v>
      </c>
      <c r="F122" s="18">
        <f>69700+1000</f>
        <v>70700</v>
      </c>
      <c r="N122" s="21"/>
      <c r="O122" s="22"/>
    </row>
    <row r="123" spans="1:15" s="10" customFormat="1" x14ac:dyDescent="0.25">
      <c r="A123" s="16">
        <v>73</v>
      </c>
      <c r="B123" s="16">
        <v>10</v>
      </c>
      <c r="C123" s="16">
        <v>20</v>
      </c>
      <c r="D123" s="16" t="s">
        <v>2</v>
      </c>
      <c r="E123" s="17">
        <f>4.72-2.02-0.231</f>
        <v>2.4689999999999999</v>
      </c>
      <c r="F123" s="18">
        <f>65700+3000+1000</f>
        <v>69700</v>
      </c>
      <c r="N123" s="21"/>
      <c r="O123" s="22"/>
    </row>
    <row r="124" spans="1:15" s="10" customFormat="1" x14ac:dyDescent="0.25">
      <c r="A124" s="16">
        <v>73</v>
      </c>
      <c r="B124" s="16">
        <v>10</v>
      </c>
      <c r="C124" s="16">
        <v>20</v>
      </c>
      <c r="D124" s="16" t="s">
        <v>2</v>
      </c>
      <c r="E124" s="17">
        <v>0.3</v>
      </c>
      <c r="F124" s="18">
        <f>65700+3000+1000</f>
        <v>69700</v>
      </c>
      <c r="N124" s="21"/>
      <c r="O124" s="22"/>
    </row>
    <row r="125" spans="1:15" s="10" customFormat="1" x14ac:dyDescent="0.25">
      <c r="A125" s="16">
        <v>73</v>
      </c>
      <c r="B125" s="16">
        <v>14</v>
      </c>
      <c r="C125" s="16">
        <v>45</v>
      </c>
      <c r="D125" s="16" t="s">
        <v>2</v>
      </c>
      <c r="E125" s="17">
        <v>5.0999999999999996</v>
      </c>
      <c r="F125" s="18">
        <f>69700+1000</f>
        <v>70700</v>
      </c>
      <c r="N125" s="21"/>
      <c r="O125" s="22"/>
    </row>
    <row r="126" spans="1:15" s="10" customFormat="1" x14ac:dyDescent="0.25">
      <c r="A126" s="16">
        <v>73</v>
      </c>
      <c r="B126" s="16">
        <v>16</v>
      </c>
      <c r="C126" s="16">
        <v>20</v>
      </c>
      <c r="D126" s="16" t="s">
        <v>2</v>
      </c>
      <c r="E126" s="17">
        <v>0.11700000000000001</v>
      </c>
      <c r="F126" s="18">
        <f>65700+3000+1000</f>
        <v>69700</v>
      </c>
      <c r="N126" s="21"/>
      <c r="O126" s="22"/>
    </row>
    <row r="127" spans="1:15" s="10" customFormat="1" x14ac:dyDescent="0.25">
      <c r="A127" s="16">
        <v>73</v>
      </c>
      <c r="B127" s="16">
        <v>16</v>
      </c>
      <c r="C127" s="16">
        <v>20</v>
      </c>
      <c r="D127" s="16" t="s">
        <v>2</v>
      </c>
      <c r="E127" s="17">
        <f>5.223-0.326-0.495</f>
        <v>4.4020000000000001</v>
      </c>
      <c r="F127" s="18">
        <f>65700+3000+1000</f>
        <v>69700</v>
      </c>
      <c r="N127" s="21"/>
      <c r="O127" s="22"/>
    </row>
    <row r="128" spans="1:15" s="10" customFormat="1" x14ac:dyDescent="0.25">
      <c r="A128" s="16">
        <v>73</v>
      </c>
      <c r="B128" s="16">
        <v>16</v>
      </c>
      <c r="C128" s="16" t="s">
        <v>0</v>
      </c>
      <c r="D128" s="16" t="s">
        <v>2</v>
      </c>
      <c r="E128" s="17">
        <f>5.174-0.434-0.091-0.023-0.069-0.432-0.143-0.15</f>
        <v>3.8320000000000003</v>
      </c>
      <c r="F128" s="18">
        <f>68700+3000+1000</f>
        <v>72700</v>
      </c>
      <c r="N128" s="21"/>
      <c r="O128" s="22"/>
    </row>
    <row r="129" spans="1:15" s="10" customFormat="1" x14ac:dyDescent="0.25">
      <c r="A129" s="16">
        <v>73</v>
      </c>
      <c r="B129" s="16">
        <v>16</v>
      </c>
      <c r="C129" s="16" t="s">
        <v>7</v>
      </c>
      <c r="D129" s="16" t="s">
        <v>2</v>
      </c>
      <c r="E129" s="17">
        <v>5.14</v>
      </c>
      <c r="F129" s="18">
        <f>78700+3000+1000</f>
        <v>82700</v>
      </c>
      <c r="N129" s="21"/>
      <c r="O129" s="22"/>
    </row>
    <row r="130" spans="1:15" s="10" customFormat="1" x14ac:dyDescent="0.25">
      <c r="A130" s="16">
        <v>73</v>
      </c>
      <c r="B130" s="16">
        <v>18</v>
      </c>
      <c r="C130" s="16">
        <v>45</v>
      </c>
      <c r="D130" s="16" t="s">
        <v>2</v>
      </c>
      <c r="E130" s="17">
        <v>5.0199999999999996</v>
      </c>
      <c r="F130" s="18">
        <f>66700+3000+1000</f>
        <v>70700</v>
      </c>
      <c r="N130" s="21"/>
      <c r="O130" s="22"/>
    </row>
    <row r="131" spans="1:15" s="10" customFormat="1" x14ac:dyDescent="0.25">
      <c r="A131" s="16">
        <v>73</v>
      </c>
      <c r="B131" s="16">
        <v>18</v>
      </c>
      <c r="C131" s="16" t="s">
        <v>5</v>
      </c>
      <c r="D131" s="16" t="s">
        <v>2</v>
      </c>
      <c r="E131" s="17">
        <f>4.835-1.001-0.719-0.287-0.433-0.29-0.567-0.141-0.05-0.144-0.146-0.024-0.143-0.285-0.557+0.019</f>
        <v>6.7000000000000601E-2</v>
      </c>
      <c r="F131" s="18">
        <f>78700+3000+1000</f>
        <v>82700</v>
      </c>
      <c r="N131" s="21"/>
      <c r="O131" s="22"/>
    </row>
    <row r="132" spans="1:15" s="10" customFormat="1" x14ac:dyDescent="0.25">
      <c r="A132" s="16">
        <v>73</v>
      </c>
      <c r="B132" s="16">
        <v>18</v>
      </c>
      <c r="C132" s="16" t="s">
        <v>5</v>
      </c>
      <c r="D132" s="16" t="s">
        <v>2</v>
      </c>
      <c r="E132" s="17">
        <v>4.42</v>
      </c>
      <c r="F132" s="18">
        <f>81700+1000</f>
        <v>82700</v>
      </c>
      <c r="N132" s="21"/>
      <c r="O132" s="22"/>
    </row>
    <row r="133" spans="1:15" s="10" customFormat="1" x14ac:dyDescent="0.25">
      <c r="A133" s="16">
        <v>73</v>
      </c>
      <c r="B133" s="16">
        <v>18</v>
      </c>
      <c r="C133" s="16" t="s">
        <v>5</v>
      </c>
      <c r="D133" s="16" t="s">
        <v>2</v>
      </c>
      <c r="E133" s="17">
        <v>0.6</v>
      </c>
      <c r="F133" s="18">
        <f>81700+1000</f>
        <v>82700</v>
      </c>
      <c r="N133" s="21"/>
      <c r="O133" s="22"/>
    </row>
    <row r="134" spans="1:15" s="10" customFormat="1" x14ac:dyDescent="0.25">
      <c r="A134" s="16">
        <v>76</v>
      </c>
      <c r="B134" s="16">
        <v>4</v>
      </c>
      <c r="C134" s="16">
        <v>20</v>
      </c>
      <c r="D134" s="16" t="s">
        <v>2</v>
      </c>
      <c r="E134" s="17">
        <v>0.159</v>
      </c>
      <c r="F134" s="18">
        <f>65700+3000+1000</f>
        <v>69700</v>
      </c>
      <c r="N134" s="21"/>
      <c r="O134" s="22"/>
    </row>
    <row r="135" spans="1:15" s="10" customFormat="1" x14ac:dyDescent="0.25">
      <c r="A135" s="16">
        <v>76</v>
      </c>
      <c r="B135" s="16">
        <v>4</v>
      </c>
      <c r="C135" s="16">
        <v>20</v>
      </c>
      <c r="D135" s="16" t="s">
        <v>2</v>
      </c>
      <c r="E135" s="17">
        <v>0.63500000000000001</v>
      </c>
      <c r="F135" s="18">
        <f>68700+1000</f>
        <v>69700</v>
      </c>
      <c r="N135" s="21"/>
      <c r="O135" s="22"/>
    </row>
    <row r="136" spans="1:15" s="10" customFormat="1" x14ac:dyDescent="0.25">
      <c r="A136" s="16">
        <v>76</v>
      </c>
      <c r="B136" s="16">
        <v>5</v>
      </c>
      <c r="C136" s="16" t="s">
        <v>0</v>
      </c>
      <c r="D136" s="16" t="s">
        <v>2</v>
      </c>
      <c r="E136" s="17">
        <f>0.052-0.036</f>
        <v>1.6E-2</v>
      </c>
      <c r="F136" s="18">
        <f>68700+3000+1000</f>
        <v>72700</v>
      </c>
      <c r="N136" s="21"/>
      <c r="O136" s="22"/>
    </row>
    <row r="137" spans="1:15" s="10" customFormat="1" x14ac:dyDescent="0.25">
      <c r="A137" s="16">
        <v>76</v>
      </c>
      <c r="B137" s="16">
        <v>6</v>
      </c>
      <c r="C137" s="16">
        <v>20</v>
      </c>
      <c r="D137" s="16" t="s">
        <v>2</v>
      </c>
      <c r="E137" s="17">
        <v>3.45</v>
      </c>
      <c r="F137" s="18">
        <f>68700+1000</f>
        <v>69700</v>
      </c>
      <c r="N137" s="21"/>
      <c r="O137" s="22"/>
    </row>
    <row r="138" spans="1:15" s="10" customFormat="1" x14ac:dyDescent="0.25">
      <c r="A138" s="16">
        <v>76</v>
      </c>
      <c r="B138" s="16">
        <v>6</v>
      </c>
      <c r="C138" s="16" t="s">
        <v>0</v>
      </c>
      <c r="D138" s="16" t="s">
        <v>2</v>
      </c>
      <c r="E138" s="17">
        <f>8.14-3.8</f>
        <v>4.3400000000000007</v>
      </c>
      <c r="F138" s="18">
        <f>57700+3000+9000</f>
        <v>69700</v>
      </c>
      <c r="N138" s="21"/>
      <c r="O138" s="22"/>
    </row>
    <row r="139" spans="1:15" s="10" customFormat="1" x14ac:dyDescent="0.25">
      <c r="A139" s="16">
        <v>76</v>
      </c>
      <c r="B139" s="16">
        <v>6</v>
      </c>
      <c r="C139" s="16" t="s">
        <v>0</v>
      </c>
      <c r="D139" s="16" t="s">
        <v>2</v>
      </c>
      <c r="E139" s="17">
        <f>23.335-0.119-1.138</f>
        <v>22.078000000000003</v>
      </c>
      <c r="F139" s="18">
        <f>57700+3000+9000</f>
        <v>69700</v>
      </c>
      <c r="N139" s="21"/>
      <c r="O139" s="22"/>
    </row>
    <row r="140" spans="1:15" s="10" customFormat="1" x14ac:dyDescent="0.25">
      <c r="A140" s="16">
        <v>76</v>
      </c>
      <c r="B140" s="16">
        <v>6</v>
      </c>
      <c r="C140" s="16" t="s">
        <v>0</v>
      </c>
      <c r="D140" s="16" t="s">
        <v>2</v>
      </c>
      <c r="E140" s="17">
        <f>4.032-0.114+0.053-0.116-0.776-0.014-0.104-0.032-0.004-0.116-0.031-0.33-0.022-0.03-0.054-0.003-0.113-0.016</f>
        <v>2.21</v>
      </c>
      <c r="F140" s="18">
        <f>57700+3000+9000</f>
        <v>69700</v>
      </c>
      <c r="N140" s="21"/>
      <c r="O140" s="22"/>
    </row>
    <row r="141" spans="1:15" s="10" customFormat="1" x14ac:dyDescent="0.25">
      <c r="A141" s="16">
        <v>76</v>
      </c>
      <c r="B141" s="16">
        <v>8</v>
      </c>
      <c r="C141" s="16">
        <v>10</v>
      </c>
      <c r="D141" s="16" t="s">
        <v>2</v>
      </c>
      <c r="E141" s="17">
        <v>2.04</v>
      </c>
      <c r="F141" s="18">
        <v>69700</v>
      </c>
      <c r="N141" s="21"/>
      <c r="O141" s="22"/>
    </row>
    <row r="142" spans="1:15" s="10" customFormat="1" x14ac:dyDescent="0.25">
      <c r="A142" s="16">
        <v>76</v>
      </c>
      <c r="B142" s="16">
        <v>8</v>
      </c>
      <c r="C142" s="16">
        <v>20</v>
      </c>
      <c r="D142" s="16" t="s">
        <v>2</v>
      </c>
      <c r="E142" s="17">
        <f>4.09-0.138-0.14-0.445-0.27-0.284-0.142-0.084-0.28-0.282-0.16</f>
        <v>1.8650000000000004</v>
      </c>
      <c r="F142" s="18">
        <f>65700+3000+1000</f>
        <v>69700</v>
      </c>
      <c r="N142" s="21"/>
      <c r="O142" s="22"/>
    </row>
    <row r="143" spans="1:15" s="10" customFormat="1" x14ac:dyDescent="0.25">
      <c r="A143" s="16">
        <v>76</v>
      </c>
      <c r="B143" s="19">
        <v>11</v>
      </c>
      <c r="C143" s="16">
        <v>20</v>
      </c>
      <c r="D143" s="16" t="s">
        <v>2</v>
      </c>
      <c r="E143" s="17">
        <f>2.675-0.147-0.107-0.072-0.027-0.175-0.1-0.029-0.357-0.096-0.148-0.06-0.02-0.036-0.071-0.13-0.037</f>
        <v>1.0629999999999997</v>
      </c>
      <c r="F143" s="18">
        <f>65700+3000+1000</f>
        <v>69700</v>
      </c>
      <c r="N143" s="21"/>
      <c r="O143" s="22"/>
    </row>
    <row r="144" spans="1:15" s="10" customFormat="1" x14ac:dyDescent="0.25">
      <c r="A144" s="16">
        <v>76</v>
      </c>
      <c r="B144" s="16">
        <v>12</v>
      </c>
      <c r="C144" s="16">
        <v>45</v>
      </c>
      <c r="D144" s="16" t="s">
        <v>2</v>
      </c>
      <c r="E144" s="17">
        <f>5.135-1.979-0.123-0.124-0.052-0.249-0.94-0.094-0.126-0.243-0.127-0.5</f>
        <v>0.57799999999999918</v>
      </c>
      <c r="F144" s="18">
        <f>66700+3000+1000</f>
        <v>70700</v>
      </c>
      <c r="N144" s="21"/>
      <c r="O144" s="22"/>
    </row>
    <row r="145" spans="1:15" s="10" customFormat="1" x14ac:dyDescent="0.25">
      <c r="A145" s="16">
        <v>76</v>
      </c>
      <c r="B145" s="16">
        <v>14</v>
      </c>
      <c r="C145" s="16" t="s">
        <v>3</v>
      </c>
      <c r="D145" s="16" t="s">
        <v>4</v>
      </c>
      <c r="E145" s="17">
        <f>0.516-0.129</f>
        <v>0.38700000000000001</v>
      </c>
      <c r="F145" s="18">
        <v>157700</v>
      </c>
      <c r="N145" s="21"/>
      <c r="O145" s="22"/>
    </row>
    <row r="146" spans="1:15" s="10" customFormat="1" x14ac:dyDescent="0.25">
      <c r="A146" s="16">
        <v>76</v>
      </c>
      <c r="B146" s="16">
        <v>15</v>
      </c>
      <c r="C146" s="16" t="s">
        <v>5</v>
      </c>
      <c r="D146" s="16" t="s">
        <v>2</v>
      </c>
      <c r="E146" s="17">
        <v>4.99</v>
      </c>
      <c r="F146" s="18">
        <v>82700</v>
      </c>
      <c r="N146" s="21"/>
      <c r="O146" s="22"/>
    </row>
    <row r="147" spans="1:15" s="10" customFormat="1" x14ac:dyDescent="0.25">
      <c r="A147" s="16">
        <v>76</v>
      </c>
      <c r="B147" s="16">
        <v>15</v>
      </c>
      <c r="C147" s="16" t="s">
        <v>3</v>
      </c>
      <c r="D147" s="16" t="s">
        <v>4</v>
      </c>
      <c r="E147" s="17">
        <f>0.125-0.017</f>
        <v>0.108</v>
      </c>
      <c r="F147" s="18">
        <v>157700</v>
      </c>
      <c r="N147" s="21"/>
      <c r="O147" s="22"/>
    </row>
    <row r="148" spans="1:15" s="10" customFormat="1" x14ac:dyDescent="0.25">
      <c r="A148" s="16">
        <v>76</v>
      </c>
      <c r="B148" s="16">
        <v>16</v>
      </c>
      <c r="C148" s="16">
        <v>20</v>
      </c>
      <c r="D148" s="16" t="s">
        <v>2</v>
      </c>
      <c r="E148" s="17">
        <v>4.97</v>
      </c>
      <c r="F148" s="18">
        <f>68700+1000</f>
        <v>69700</v>
      </c>
      <c r="N148" s="21"/>
      <c r="O148" s="22"/>
    </row>
    <row r="149" spans="1:15" s="10" customFormat="1" x14ac:dyDescent="0.25">
      <c r="A149" s="16">
        <v>76</v>
      </c>
      <c r="B149" s="16">
        <v>18</v>
      </c>
      <c r="C149" s="16">
        <v>35</v>
      </c>
      <c r="D149" s="16" t="s">
        <v>2</v>
      </c>
      <c r="E149" s="17">
        <f>5.851-0.171-0.344-0.17-0.962-0.223-0.34-0.174</f>
        <v>3.4670000000000001</v>
      </c>
      <c r="F149" s="18">
        <f>66700+3000+1000</f>
        <v>70700</v>
      </c>
      <c r="N149" s="21"/>
      <c r="O149" s="22"/>
    </row>
    <row r="150" spans="1:15" s="10" customFormat="1" x14ac:dyDescent="0.25">
      <c r="A150" s="16">
        <v>76</v>
      </c>
      <c r="B150" s="16">
        <v>18</v>
      </c>
      <c r="C150" s="16">
        <v>45</v>
      </c>
      <c r="D150" s="16" t="s">
        <v>2</v>
      </c>
      <c r="E150" s="17">
        <f>4.99-3.114-0.901-0.819+0.048</f>
        <v>0.20400000000000035</v>
      </c>
      <c r="F150" s="18">
        <f>66700+3000+1000</f>
        <v>70700</v>
      </c>
      <c r="N150" s="21"/>
      <c r="O150" s="22"/>
    </row>
    <row r="151" spans="1:15" s="10" customFormat="1" x14ac:dyDescent="0.25">
      <c r="A151" s="16">
        <v>76</v>
      </c>
      <c r="B151" s="16">
        <v>18</v>
      </c>
      <c r="C151" s="16" t="s">
        <v>0</v>
      </c>
      <c r="D151" s="16" t="s">
        <v>2</v>
      </c>
      <c r="E151" s="17">
        <v>5</v>
      </c>
      <c r="F151" s="18">
        <f>68700+3000+1000</f>
        <v>72700</v>
      </c>
      <c r="N151" s="21"/>
      <c r="O151" s="22"/>
    </row>
    <row r="152" spans="1:15" s="10" customFormat="1" x14ac:dyDescent="0.25">
      <c r="A152" s="16">
        <v>76</v>
      </c>
      <c r="B152" s="16">
        <v>18</v>
      </c>
      <c r="C152" s="16" t="s">
        <v>7</v>
      </c>
      <c r="D152" s="16" t="s">
        <v>2</v>
      </c>
      <c r="E152" s="17">
        <f>3.62-0.19-1.06+0.05-0.116-0.046-0.743</f>
        <v>1.5150000000000001</v>
      </c>
      <c r="F152" s="18">
        <f>78700+3000+1000</f>
        <v>82700</v>
      </c>
      <c r="N152" s="21"/>
      <c r="O152" s="22"/>
    </row>
    <row r="153" spans="1:15" s="10" customFormat="1" x14ac:dyDescent="0.25">
      <c r="A153" s="16">
        <v>76</v>
      </c>
      <c r="B153" s="16">
        <v>18</v>
      </c>
      <c r="C153" s="16" t="s">
        <v>7</v>
      </c>
      <c r="D153" s="16" t="s">
        <v>2</v>
      </c>
      <c r="E153" s="17">
        <v>1.6040000000000001</v>
      </c>
      <c r="F153" s="18">
        <f>78700+3000+1000</f>
        <v>82700</v>
      </c>
      <c r="N153" s="21"/>
      <c r="O153" s="22"/>
    </row>
    <row r="154" spans="1:15" s="10" customFormat="1" x14ac:dyDescent="0.25">
      <c r="A154" s="16">
        <v>80</v>
      </c>
      <c r="B154" s="16">
        <v>12</v>
      </c>
      <c r="C154" s="16" t="s">
        <v>5</v>
      </c>
      <c r="D154" s="16" t="s">
        <v>2</v>
      </c>
      <c r="E154" s="17">
        <v>5</v>
      </c>
      <c r="F154" s="18">
        <f>81700+1000</f>
        <v>82700</v>
      </c>
      <c r="N154" s="21"/>
      <c r="O154" s="22"/>
    </row>
    <row r="155" spans="1:15" s="10" customFormat="1" x14ac:dyDescent="0.25">
      <c r="A155" s="16">
        <v>83</v>
      </c>
      <c r="B155" s="16">
        <v>3</v>
      </c>
      <c r="C155" s="16">
        <v>20</v>
      </c>
      <c r="D155" s="16" t="s">
        <v>2</v>
      </c>
      <c r="E155" s="17">
        <v>2.8000000000000001E-2</v>
      </c>
      <c r="F155" s="18">
        <f>65700+3000+1000</f>
        <v>69700</v>
      </c>
      <c r="N155" s="21"/>
      <c r="O155" s="22"/>
    </row>
    <row r="156" spans="1:15" s="10" customFormat="1" x14ac:dyDescent="0.25">
      <c r="A156" s="16">
        <v>83</v>
      </c>
      <c r="B156" s="16">
        <v>3.5</v>
      </c>
      <c r="C156" s="16">
        <v>20</v>
      </c>
      <c r="D156" s="16" t="s">
        <v>2</v>
      </c>
      <c r="E156" s="17">
        <f>4.25-0.024-0.134</f>
        <v>4.0919999999999996</v>
      </c>
      <c r="F156" s="18">
        <f>57700+3000+1000+5000</f>
        <v>66700</v>
      </c>
      <c r="N156" s="21"/>
      <c r="O156" s="22"/>
    </row>
    <row r="157" spans="1:15" s="10" customFormat="1" x14ac:dyDescent="0.25">
      <c r="A157" s="16">
        <v>83</v>
      </c>
      <c r="B157" s="16">
        <v>3.5</v>
      </c>
      <c r="C157" s="16">
        <v>20</v>
      </c>
      <c r="D157" s="16" t="s">
        <v>2</v>
      </c>
      <c r="E157" s="17">
        <f>8.587-0.067</f>
        <v>8.52</v>
      </c>
      <c r="F157" s="18">
        <f>60700+1000+5000</f>
        <v>66700</v>
      </c>
      <c r="N157" s="21"/>
      <c r="O157" s="22"/>
    </row>
    <row r="158" spans="1:15" s="10" customFormat="1" x14ac:dyDescent="0.25">
      <c r="A158" s="16">
        <v>83</v>
      </c>
      <c r="B158" s="16">
        <v>3.5</v>
      </c>
      <c r="C158" s="16" t="s">
        <v>0</v>
      </c>
      <c r="D158" s="16" t="s">
        <v>2</v>
      </c>
      <c r="E158" s="17">
        <v>5.88</v>
      </c>
      <c r="F158" s="18">
        <f>57700+3000+9000</f>
        <v>69700</v>
      </c>
      <c r="N158" s="21"/>
      <c r="O158" s="22"/>
    </row>
    <row r="159" spans="1:15" s="10" customFormat="1" x14ac:dyDescent="0.25">
      <c r="A159" s="16">
        <v>83</v>
      </c>
      <c r="B159" s="16">
        <v>4.5</v>
      </c>
      <c r="C159" s="16" t="s">
        <v>0</v>
      </c>
      <c r="D159" s="16" t="s">
        <v>2</v>
      </c>
      <c r="E159" s="17">
        <f>1.87-0.096-0.6-0.036-1-0.01</f>
        <v>0.12799999999999989</v>
      </c>
      <c r="F159" s="18">
        <f>68700+3000+1000</f>
        <v>72700</v>
      </c>
      <c r="N159" s="21"/>
      <c r="O159" s="22"/>
    </row>
    <row r="160" spans="1:15" s="10" customFormat="1" x14ac:dyDescent="0.25">
      <c r="A160" s="16">
        <v>83</v>
      </c>
      <c r="B160" s="16">
        <v>4.5</v>
      </c>
      <c r="C160" s="16" t="s">
        <v>0</v>
      </c>
      <c r="D160" s="16" t="s">
        <v>2</v>
      </c>
      <c r="E160" s="17">
        <v>5.6000000000000001E-2</v>
      </c>
      <c r="F160" s="18">
        <f>68700+3000+1000</f>
        <v>72700</v>
      </c>
      <c r="N160" s="21"/>
      <c r="O160" s="22"/>
    </row>
    <row r="161" spans="1:15" s="10" customFormat="1" x14ac:dyDescent="0.25">
      <c r="A161" s="16">
        <v>83</v>
      </c>
      <c r="B161" s="16">
        <v>8</v>
      </c>
      <c r="C161" s="16" t="s">
        <v>0</v>
      </c>
      <c r="D161" s="16" t="s">
        <v>2</v>
      </c>
      <c r="E161" s="17">
        <f>5.45-0.099-0.105-0.825-0.117-0.016</f>
        <v>4.2879999999999994</v>
      </c>
      <c r="F161" s="18">
        <f>68700+3000+1000</f>
        <v>72700</v>
      </c>
      <c r="N161" s="21"/>
      <c r="O161" s="22"/>
    </row>
    <row r="162" spans="1:15" s="10" customFormat="1" x14ac:dyDescent="0.25">
      <c r="A162" s="16">
        <v>83</v>
      </c>
      <c r="B162" s="16">
        <v>10</v>
      </c>
      <c r="C162" s="16">
        <v>35</v>
      </c>
      <c r="D162" s="16" t="s">
        <v>2</v>
      </c>
      <c r="E162" s="17">
        <v>4.24</v>
      </c>
      <c r="F162" s="18">
        <v>70700</v>
      </c>
      <c r="N162" s="21"/>
      <c r="O162" s="22"/>
    </row>
    <row r="163" spans="1:15" s="10" customFormat="1" x14ac:dyDescent="0.25">
      <c r="A163" s="16">
        <v>83</v>
      </c>
      <c r="B163" s="16">
        <v>10</v>
      </c>
      <c r="C163" s="16">
        <v>45</v>
      </c>
      <c r="D163" s="16" t="s">
        <v>2</v>
      </c>
      <c r="E163" s="17">
        <f>5.1-0.642-0.065-0.129-0.215-0.055-0.215</f>
        <v>3.7789999999999995</v>
      </c>
      <c r="F163" s="18">
        <f>66700+3000+1000</f>
        <v>70700</v>
      </c>
      <c r="N163" s="21"/>
      <c r="O163" s="22"/>
    </row>
    <row r="164" spans="1:15" s="10" customFormat="1" x14ac:dyDescent="0.25">
      <c r="A164" s="16">
        <v>83</v>
      </c>
      <c r="B164" s="16">
        <v>12</v>
      </c>
      <c r="C164" s="16" t="s">
        <v>7</v>
      </c>
      <c r="D164" s="16" t="s">
        <v>85</v>
      </c>
      <c r="E164" s="17">
        <f>5.355-0.281</f>
        <v>5.0740000000000007</v>
      </c>
      <c r="F164" s="18">
        <f>81700+1000</f>
        <v>82700</v>
      </c>
      <c r="N164" s="21"/>
      <c r="O164" s="22"/>
    </row>
    <row r="165" spans="1:15" s="10" customFormat="1" x14ac:dyDescent="0.25">
      <c r="A165" s="16">
        <v>83</v>
      </c>
      <c r="B165" s="16">
        <v>16</v>
      </c>
      <c r="C165" s="16">
        <v>35</v>
      </c>
      <c r="D165" s="16" t="s">
        <v>85</v>
      </c>
      <c r="E165" s="17">
        <v>5</v>
      </c>
      <c r="F165" s="18">
        <f>69700+1000</f>
        <v>70700</v>
      </c>
      <c r="N165" s="21"/>
      <c r="O165" s="22"/>
    </row>
    <row r="166" spans="1:15" s="10" customFormat="1" x14ac:dyDescent="0.25">
      <c r="A166" s="16">
        <v>83</v>
      </c>
      <c r="B166" s="16">
        <v>16</v>
      </c>
      <c r="C166" s="16" t="s">
        <v>5</v>
      </c>
      <c r="D166" s="16" t="s">
        <v>85</v>
      </c>
      <c r="E166" s="17">
        <v>5.1849999999999996</v>
      </c>
      <c r="F166" s="18">
        <f>81700+1000</f>
        <v>82700</v>
      </c>
      <c r="N166" s="21"/>
      <c r="O166" s="22"/>
    </row>
    <row r="167" spans="1:15" s="10" customFormat="1" x14ac:dyDescent="0.25">
      <c r="A167" s="16">
        <v>83</v>
      </c>
      <c r="B167" s="16">
        <v>16</v>
      </c>
      <c r="C167" s="16" t="s">
        <v>7</v>
      </c>
      <c r="D167" s="16" t="s">
        <v>2</v>
      </c>
      <c r="E167" s="17">
        <f>4.185-0.375-0.043-0.477-0.082-0.921-0.932-0.164-0.551</f>
        <v>0.64</v>
      </c>
      <c r="F167" s="18">
        <f>78700+3000+1000</f>
        <v>82700</v>
      </c>
      <c r="N167" s="21"/>
      <c r="O167" s="22"/>
    </row>
    <row r="168" spans="1:15" s="10" customFormat="1" x14ac:dyDescent="0.25">
      <c r="A168" s="16">
        <v>83</v>
      </c>
      <c r="B168" s="16">
        <v>19</v>
      </c>
      <c r="C168" s="16" t="s">
        <v>5</v>
      </c>
      <c r="D168" s="16" t="s">
        <v>2</v>
      </c>
      <c r="E168" s="17">
        <v>5</v>
      </c>
      <c r="F168" s="18">
        <f>81700+1000</f>
        <v>82700</v>
      </c>
      <c r="N168" s="21"/>
      <c r="O168" s="22"/>
    </row>
    <row r="169" spans="1:15" s="10" customFormat="1" x14ac:dyDescent="0.25">
      <c r="A169" s="16">
        <v>89</v>
      </c>
      <c r="B169" s="16">
        <v>4</v>
      </c>
      <c r="C169" s="16">
        <v>20</v>
      </c>
      <c r="D169" s="16" t="s">
        <v>2</v>
      </c>
      <c r="E169" s="17">
        <v>8.6999999999999994E-2</v>
      </c>
      <c r="F169" s="18">
        <f>61700+8000</f>
        <v>69700</v>
      </c>
      <c r="N169" s="21"/>
      <c r="O169" s="22"/>
    </row>
    <row r="170" spans="1:15" s="10" customFormat="1" x14ac:dyDescent="0.25">
      <c r="A170" s="16">
        <v>89</v>
      </c>
      <c r="B170" s="16">
        <v>4</v>
      </c>
      <c r="C170" s="16">
        <v>20</v>
      </c>
      <c r="D170" s="16" t="s">
        <v>2</v>
      </c>
      <c r="E170" s="17">
        <f>0.2-0.039</f>
        <v>0.161</v>
      </c>
      <c r="F170" s="18">
        <f>57700+3000+1000+8000</f>
        <v>69700</v>
      </c>
      <c r="N170" s="21"/>
      <c r="O170" s="22"/>
    </row>
    <row r="171" spans="1:15" s="10" customFormat="1" x14ac:dyDescent="0.25">
      <c r="A171" s="16">
        <v>89</v>
      </c>
      <c r="B171" s="16">
        <v>4</v>
      </c>
      <c r="C171" s="16">
        <v>20</v>
      </c>
      <c r="D171" s="16" t="s">
        <v>2</v>
      </c>
      <c r="E171" s="17">
        <v>4.7</v>
      </c>
      <c r="F171" s="18">
        <v>69700</v>
      </c>
      <c r="N171" s="21"/>
      <c r="O171" s="22"/>
    </row>
    <row r="172" spans="1:15" s="10" customFormat="1" x14ac:dyDescent="0.25">
      <c r="A172" s="16">
        <v>89</v>
      </c>
      <c r="B172" s="16">
        <v>5</v>
      </c>
      <c r="C172" s="16">
        <v>20</v>
      </c>
      <c r="D172" s="16" t="s">
        <v>2</v>
      </c>
      <c r="E172" s="17">
        <f>3.25-0.131-0.86-0.949</f>
        <v>1.31</v>
      </c>
      <c r="F172" s="18">
        <f>57700+3000+1000+8000</f>
        <v>69700</v>
      </c>
      <c r="N172" s="21"/>
      <c r="O172" s="22"/>
    </row>
    <row r="173" spans="1:15" s="10" customFormat="1" x14ac:dyDescent="0.25">
      <c r="A173" s="16">
        <v>89</v>
      </c>
      <c r="B173" s="16">
        <v>5</v>
      </c>
      <c r="C173" s="16">
        <v>20</v>
      </c>
      <c r="D173" s="16" t="s">
        <v>2</v>
      </c>
      <c r="E173" s="17">
        <f>3.85-1.03-0.003-0.027</f>
        <v>2.79</v>
      </c>
      <c r="F173" s="18">
        <f>57700+3000+1000+8000</f>
        <v>69700</v>
      </c>
      <c r="N173" s="21"/>
      <c r="O173" s="22"/>
    </row>
    <row r="174" spans="1:15" s="10" customFormat="1" x14ac:dyDescent="0.25">
      <c r="A174" s="16">
        <v>89</v>
      </c>
      <c r="B174" s="16">
        <v>5</v>
      </c>
      <c r="C174" s="16">
        <v>20</v>
      </c>
      <c r="D174" s="16" t="s">
        <v>2</v>
      </c>
      <c r="E174" s="17">
        <v>0.24</v>
      </c>
      <c r="F174" s="18">
        <f>57700+3000+1000+8000</f>
        <v>69700</v>
      </c>
      <c r="N174" s="21"/>
      <c r="O174" s="22"/>
    </row>
    <row r="175" spans="1:15" s="10" customFormat="1" x14ac:dyDescent="0.25">
      <c r="A175" s="16">
        <v>89</v>
      </c>
      <c r="B175" s="16">
        <v>5</v>
      </c>
      <c r="C175" s="16">
        <v>20</v>
      </c>
      <c r="D175" s="16" t="s">
        <v>2</v>
      </c>
      <c r="E175" s="17">
        <v>0.105</v>
      </c>
      <c r="F175" s="18">
        <f>60700+1000+8000</f>
        <v>69700</v>
      </c>
      <c r="N175" s="21"/>
      <c r="O175" s="22"/>
    </row>
    <row r="176" spans="1:15" s="10" customFormat="1" x14ac:dyDescent="0.25">
      <c r="A176" s="16">
        <v>89</v>
      </c>
      <c r="B176" s="16">
        <v>5</v>
      </c>
      <c r="C176" s="16">
        <v>20</v>
      </c>
      <c r="D176" s="16" t="s">
        <v>2</v>
      </c>
      <c r="E176" s="17">
        <v>0.122</v>
      </c>
      <c r="F176" s="18">
        <f>61700+8000</f>
        <v>69700</v>
      </c>
      <c r="N176" s="21"/>
      <c r="O176" s="22"/>
    </row>
    <row r="177" spans="1:15" s="10" customFormat="1" x14ac:dyDescent="0.25">
      <c r="A177" s="16">
        <v>89</v>
      </c>
      <c r="B177" s="16">
        <v>6</v>
      </c>
      <c r="C177" s="16">
        <v>20</v>
      </c>
      <c r="D177" s="16" t="s">
        <v>2</v>
      </c>
      <c r="E177" s="17">
        <f>4.415-0.003</f>
        <v>4.4119999999999999</v>
      </c>
      <c r="F177" s="18">
        <f>61700+8000</f>
        <v>69700</v>
      </c>
      <c r="N177" s="21"/>
      <c r="O177" s="22"/>
    </row>
    <row r="178" spans="1:15" s="10" customFormat="1" x14ac:dyDescent="0.25">
      <c r="A178" s="16">
        <v>89</v>
      </c>
      <c r="B178" s="16">
        <v>7</v>
      </c>
      <c r="C178" s="16">
        <v>20</v>
      </c>
      <c r="D178" s="16" t="s">
        <v>2</v>
      </c>
      <c r="E178" s="17">
        <f>0.512-0.015-0.091</f>
        <v>0.40600000000000003</v>
      </c>
      <c r="F178" s="18">
        <f>57700+3000+1000+5000</f>
        <v>66700</v>
      </c>
      <c r="N178" s="21"/>
      <c r="O178" s="22"/>
    </row>
    <row r="179" spans="1:15" s="10" customFormat="1" x14ac:dyDescent="0.25">
      <c r="A179" s="16">
        <v>89</v>
      </c>
      <c r="B179" s="16">
        <v>7</v>
      </c>
      <c r="C179" s="16">
        <v>20</v>
      </c>
      <c r="D179" s="16" t="s">
        <v>2</v>
      </c>
      <c r="E179" s="17">
        <f>21.41-0.044-0.155-0.022-0.165-0.044-0.012-0.058-0.156</f>
        <v>20.754000000000001</v>
      </c>
      <c r="F179" s="18">
        <f>57700+3000+1000+5000</f>
        <v>66700</v>
      </c>
      <c r="N179" s="21"/>
      <c r="O179" s="22"/>
    </row>
    <row r="180" spans="1:15" s="10" customFormat="1" x14ac:dyDescent="0.25">
      <c r="A180" s="16">
        <v>89</v>
      </c>
      <c r="B180" s="16">
        <v>7</v>
      </c>
      <c r="C180" s="16">
        <v>20</v>
      </c>
      <c r="D180" s="16" t="s">
        <v>2</v>
      </c>
      <c r="E180" s="17">
        <f>22.76-0.468-0.612</f>
        <v>21.680000000000003</v>
      </c>
      <c r="F180" s="18">
        <f>57700+3000+1000+5000</f>
        <v>66700</v>
      </c>
      <c r="N180" s="21"/>
      <c r="O180" s="22"/>
    </row>
    <row r="181" spans="1:15" s="10" customFormat="1" x14ac:dyDescent="0.25">
      <c r="A181" s="16">
        <v>89</v>
      </c>
      <c r="B181" s="16">
        <v>7</v>
      </c>
      <c r="C181" s="16" t="s">
        <v>30</v>
      </c>
      <c r="D181" s="16" t="s">
        <v>2</v>
      </c>
      <c r="E181" s="17">
        <v>0.47599999999999998</v>
      </c>
      <c r="F181" s="18">
        <f>70700+4000</f>
        <v>74700</v>
      </c>
      <c r="N181" s="21"/>
      <c r="O181" s="22"/>
    </row>
    <row r="182" spans="1:15" s="10" customFormat="1" x14ac:dyDescent="0.25">
      <c r="A182" s="16">
        <v>89</v>
      </c>
      <c r="B182" s="16">
        <v>7</v>
      </c>
      <c r="C182" s="16" t="s">
        <v>7</v>
      </c>
      <c r="D182" s="16" t="s">
        <v>85</v>
      </c>
      <c r="E182" s="17">
        <v>5</v>
      </c>
      <c r="F182" s="18">
        <v>82700</v>
      </c>
      <c r="N182" s="21"/>
      <c r="O182" s="22"/>
    </row>
    <row r="183" spans="1:15" s="10" customFormat="1" x14ac:dyDescent="0.25">
      <c r="A183" s="16">
        <v>89</v>
      </c>
      <c r="B183" s="16">
        <v>8</v>
      </c>
      <c r="C183" s="16" t="s">
        <v>0</v>
      </c>
      <c r="D183" s="16" t="s">
        <v>2</v>
      </c>
      <c r="E183" s="17">
        <f>5.12-0.147-0.046-0.101-0.32-0.081</f>
        <v>4.4249999999999989</v>
      </c>
      <c r="F183" s="18">
        <f>68700+3000+1000</f>
        <v>72700</v>
      </c>
      <c r="N183" s="21"/>
      <c r="O183" s="22"/>
    </row>
    <row r="184" spans="1:15" s="10" customFormat="1" x14ac:dyDescent="0.25">
      <c r="A184" s="16">
        <v>89</v>
      </c>
      <c r="B184" s="16">
        <v>9</v>
      </c>
      <c r="C184" s="16">
        <v>20</v>
      </c>
      <c r="D184" s="16" t="s">
        <v>2</v>
      </c>
      <c r="E184" s="17">
        <f>9.38-0.217-0.042-0.127-0.637-0.216-0.011-0.831-0.08</f>
        <v>7.2190000000000012</v>
      </c>
      <c r="F184" s="18">
        <f>65700+3000+1000</f>
        <v>69700</v>
      </c>
      <c r="N184" s="21"/>
      <c r="O184" s="22"/>
    </row>
    <row r="185" spans="1:15" s="10" customFormat="1" x14ac:dyDescent="0.25">
      <c r="A185" s="16">
        <v>89</v>
      </c>
      <c r="B185" s="16">
        <v>9</v>
      </c>
      <c r="C185" s="16" t="s">
        <v>7</v>
      </c>
      <c r="D185" s="16" t="s">
        <v>85</v>
      </c>
      <c r="E185" s="17">
        <v>4.6900000000000004</v>
      </c>
      <c r="F185" s="18">
        <f>81700+1000</f>
        <v>82700</v>
      </c>
      <c r="N185" s="21"/>
      <c r="O185" s="22"/>
    </row>
    <row r="186" spans="1:15" s="10" customFormat="1" x14ac:dyDescent="0.25">
      <c r="A186" s="16">
        <v>89</v>
      </c>
      <c r="B186" s="16">
        <v>10</v>
      </c>
      <c r="C186" s="16">
        <v>20</v>
      </c>
      <c r="D186" s="16" t="s">
        <v>2</v>
      </c>
      <c r="E186" s="17">
        <f>7.05-0.218-0.222-0.443-0.674-0.219-0.668</f>
        <v>4.605999999999999</v>
      </c>
      <c r="F186" s="18">
        <f>65700+3000+1000</f>
        <v>69700</v>
      </c>
      <c r="N186" s="21"/>
      <c r="O186" s="22"/>
    </row>
    <row r="187" spans="1:15" s="10" customFormat="1" x14ac:dyDescent="0.25">
      <c r="A187" s="16">
        <v>89</v>
      </c>
      <c r="B187" s="16">
        <v>10</v>
      </c>
      <c r="C187" s="16">
        <v>20</v>
      </c>
      <c r="D187" s="16" t="s">
        <v>2</v>
      </c>
      <c r="E187" s="17">
        <v>0.182</v>
      </c>
      <c r="F187" s="18">
        <v>69700</v>
      </c>
      <c r="N187" s="21"/>
      <c r="O187" s="22"/>
    </row>
    <row r="188" spans="1:15" s="10" customFormat="1" x14ac:dyDescent="0.25">
      <c r="A188" s="16">
        <v>89</v>
      </c>
      <c r="B188" s="16">
        <v>10</v>
      </c>
      <c r="C188" s="16">
        <v>20</v>
      </c>
      <c r="D188" s="16" t="s">
        <v>2</v>
      </c>
      <c r="E188" s="17">
        <f>9.306-0.225</f>
        <v>9.0809999999999995</v>
      </c>
      <c r="F188" s="18">
        <f>65700+3000+1000</f>
        <v>69700</v>
      </c>
      <c r="N188" s="21"/>
      <c r="O188" s="22"/>
    </row>
    <row r="189" spans="1:15" s="10" customFormat="1" x14ac:dyDescent="0.25">
      <c r="A189" s="16">
        <v>89</v>
      </c>
      <c r="B189" s="16">
        <v>10</v>
      </c>
      <c r="C189" s="16" t="s">
        <v>0</v>
      </c>
      <c r="D189" s="16" t="s">
        <v>2</v>
      </c>
      <c r="E189" s="17">
        <f>2.184-0.139-0.006-0.134-0.307-0.04-0.152</f>
        <v>1.4060000000000004</v>
      </c>
      <c r="F189" s="18">
        <f>68700+3000+1000</f>
        <v>72700</v>
      </c>
      <c r="N189" s="21"/>
      <c r="O189" s="22"/>
    </row>
    <row r="190" spans="1:15" s="10" customFormat="1" x14ac:dyDescent="0.25">
      <c r="A190" s="16">
        <v>89</v>
      </c>
      <c r="B190" s="16">
        <v>12</v>
      </c>
      <c r="C190" s="16">
        <v>20</v>
      </c>
      <c r="D190" s="16" t="s">
        <v>85</v>
      </c>
      <c r="E190" s="17">
        <v>5.3449999999999998</v>
      </c>
      <c r="F190" s="18">
        <f>68700+1000</f>
        <v>69700</v>
      </c>
      <c r="N190" s="21"/>
      <c r="O190" s="22"/>
    </row>
    <row r="191" spans="1:15" s="10" customFormat="1" x14ac:dyDescent="0.25">
      <c r="A191" s="16">
        <v>89</v>
      </c>
      <c r="B191" s="16">
        <v>12</v>
      </c>
      <c r="C191" s="16" t="s">
        <v>7</v>
      </c>
      <c r="D191" s="16" t="s">
        <v>85</v>
      </c>
      <c r="E191" s="17">
        <v>5.41</v>
      </c>
      <c r="F191" s="18">
        <f>81700+1000</f>
        <v>82700</v>
      </c>
      <c r="N191" s="21"/>
      <c r="O191" s="22"/>
    </row>
    <row r="192" spans="1:15" s="10" customFormat="1" x14ac:dyDescent="0.25">
      <c r="A192" s="16">
        <v>89</v>
      </c>
      <c r="B192" s="16">
        <v>13</v>
      </c>
      <c r="C192" s="16">
        <v>20</v>
      </c>
      <c r="D192" s="16" t="s">
        <v>2</v>
      </c>
      <c r="E192" s="17">
        <v>0.50600000000000001</v>
      </c>
      <c r="F192" s="18">
        <f>65700+3000+1000</f>
        <v>69700</v>
      </c>
      <c r="N192" s="21"/>
      <c r="O192" s="22"/>
    </row>
    <row r="193" spans="1:15" s="10" customFormat="1" x14ac:dyDescent="0.25">
      <c r="A193" s="16">
        <v>89</v>
      </c>
      <c r="B193" s="16">
        <v>13</v>
      </c>
      <c r="C193" s="16">
        <v>45</v>
      </c>
      <c r="D193" s="16" t="s">
        <v>2</v>
      </c>
      <c r="E193" s="17">
        <v>4.42</v>
      </c>
      <c r="F193" s="18">
        <v>70700</v>
      </c>
      <c r="N193" s="21"/>
      <c r="O193" s="22"/>
    </row>
    <row r="194" spans="1:15" s="10" customFormat="1" x14ac:dyDescent="0.25">
      <c r="A194" s="16">
        <v>89</v>
      </c>
      <c r="B194" s="16">
        <v>14</v>
      </c>
      <c r="C194" s="16" t="s">
        <v>5</v>
      </c>
      <c r="D194" s="16" t="s">
        <v>2</v>
      </c>
      <c r="E194" s="17">
        <f>3.93-1.138-1.604</f>
        <v>1.1880000000000002</v>
      </c>
      <c r="F194" s="18">
        <f>78700+3000+1000</f>
        <v>82700</v>
      </c>
      <c r="N194" s="21"/>
      <c r="O194" s="22"/>
    </row>
    <row r="195" spans="1:15" s="10" customFormat="1" x14ac:dyDescent="0.25">
      <c r="A195" s="16">
        <v>89</v>
      </c>
      <c r="B195" s="16">
        <v>14</v>
      </c>
      <c r="C195" s="16" t="s">
        <v>7</v>
      </c>
      <c r="D195" s="16" t="s">
        <v>2</v>
      </c>
      <c r="E195" s="17">
        <f>5.086-1.147-0.49-1.654-0.326-0.161-0.028-0.163-0.164-0.824+0.006-0.053-0.017</f>
        <v>6.4999999999999794E-2</v>
      </c>
      <c r="F195" s="18">
        <f>78700+3000+1000</f>
        <v>82700</v>
      </c>
      <c r="N195" s="21"/>
      <c r="O195" s="22"/>
    </row>
    <row r="196" spans="1:15" s="10" customFormat="1" x14ac:dyDescent="0.25">
      <c r="A196" s="16">
        <v>89</v>
      </c>
      <c r="B196" s="16">
        <v>14</v>
      </c>
      <c r="C196" s="16" t="s">
        <v>7</v>
      </c>
      <c r="D196" s="16" t="s">
        <v>85</v>
      </c>
      <c r="E196" s="17">
        <f>5.286-0.195-2.074</f>
        <v>3.0169999999999995</v>
      </c>
      <c r="F196" s="18">
        <f>81700+1000</f>
        <v>82700</v>
      </c>
      <c r="N196" s="21"/>
      <c r="O196" s="22"/>
    </row>
    <row r="197" spans="1:15" s="10" customFormat="1" x14ac:dyDescent="0.25">
      <c r="A197" s="16">
        <v>89</v>
      </c>
      <c r="B197" s="16">
        <v>16</v>
      </c>
      <c r="C197" s="16">
        <v>20</v>
      </c>
      <c r="D197" s="16" t="s">
        <v>85</v>
      </c>
      <c r="E197" s="17">
        <v>6.06</v>
      </c>
      <c r="F197" s="18">
        <f>68700+1000</f>
        <v>69700</v>
      </c>
      <c r="N197" s="21"/>
      <c r="O197" s="22"/>
    </row>
    <row r="198" spans="1:15" s="10" customFormat="1" x14ac:dyDescent="0.25">
      <c r="A198" s="16">
        <v>89</v>
      </c>
      <c r="B198" s="16">
        <v>16</v>
      </c>
      <c r="C198" s="16" t="s">
        <v>7</v>
      </c>
      <c r="D198" s="16" t="s">
        <v>2</v>
      </c>
      <c r="E198" s="17">
        <f>4.132-0.007-0.175-0.06-0.347-0.052-1.393-0.173</f>
        <v>1.9249999999999998</v>
      </c>
      <c r="F198" s="18">
        <f>78700+3000+1000</f>
        <v>82700</v>
      </c>
      <c r="N198" s="21"/>
      <c r="O198" s="22"/>
    </row>
    <row r="199" spans="1:15" s="10" customFormat="1" x14ac:dyDescent="0.25">
      <c r="A199" s="16">
        <v>89</v>
      </c>
      <c r="B199" s="16">
        <v>16</v>
      </c>
      <c r="C199" s="16" t="s">
        <v>7</v>
      </c>
      <c r="D199" s="16" t="s">
        <v>2</v>
      </c>
      <c r="E199" s="17">
        <f>1.26-0.103</f>
        <v>1.157</v>
      </c>
      <c r="F199" s="18">
        <f>78700+3000+1000</f>
        <v>82700</v>
      </c>
      <c r="N199" s="21"/>
      <c r="O199" s="22"/>
    </row>
    <row r="200" spans="1:15" s="10" customFormat="1" x14ac:dyDescent="0.25">
      <c r="A200" s="16">
        <v>89</v>
      </c>
      <c r="B200" s="16">
        <v>18</v>
      </c>
      <c r="C200" s="16" t="s">
        <v>5</v>
      </c>
      <c r="D200" s="16" t="s">
        <v>85</v>
      </c>
      <c r="E200" s="17">
        <v>5</v>
      </c>
      <c r="F200" s="18">
        <v>82700</v>
      </c>
      <c r="N200" s="21"/>
      <c r="O200" s="22"/>
    </row>
    <row r="201" spans="1:15" s="10" customFormat="1" x14ac:dyDescent="0.25">
      <c r="A201" s="16">
        <v>89</v>
      </c>
      <c r="B201" s="16">
        <v>20</v>
      </c>
      <c r="C201" s="16">
        <v>20</v>
      </c>
      <c r="D201" s="16" t="s">
        <v>85</v>
      </c>
      <c r="E201" s="17">
        <f>4.171-0.18-0.216</f>
        <v>3.7749999999999999</v>
      </c>
      <c r="F201" s="18">
        <f>68700+1000</f>
        <v>69700</v>
      </c>
      <c r="N201" s="21"/>
      <c r="O201" s="22"/>
    </row>
    <row r="202" spans="1:15" s="10" customFormat="1" x14ac:dyDescent="0.25">
      <c r="A202" s="16">
        <v>89</v>
      </c>
      <c r="B202" s="16">
        <v>20</v>
      </c>
      <c r="C202" s="16">
        <v>20</v>
      </c>
      <c r="D202" s="16" t="s">
        <v>85</v>
      </c>
      <c r="E202" s="17">
        <f>0.862-0.224-0.427-0.009</f>
        <v>0.20200000000000001</v>
      </c>
      <c r="F202" s="18">
        <f>68700+1000</f>
        <v>69700</v>
      </c>
      <c r="N202" s="21"/>
      <c r="O202" s="22"/>
    </row>
    <row r="203" spans="1:15" s="10" customFormat="1" x14ac:dyDescent="0.25">
      <c r="A203" s="16">
        <v>89</v>
      </c>
      <c r="B203" s="16">
        <v>20</v>
      </c>
      <c r="C203" s="16">
        <v>45</v>
      </c>
      <c r="D203" s="16" t="s">
        <v>2</v>
      </c>
      <c r="E203" s="17">
        <f>4.32-2.05+0.059</f>
        <v>2.3290000000000006</v>
      </c>
      <c r="F203" s="18">
        <f>66700+3000+1000</f>
        <v>70700</v>
      </c>
      <c r="N203" s="21"/>
      <c r="O203" s="22"/>
    </row>
    <row r="204" spans="1:15" s="10" customFormat="1" x14ac:dyDescent="0.25">
      <c r="A204" s="16">
        <v>89</v>
      </c>
      <c r="B204" s="16">
        <v>20</v>
      </c>
      <c r="C204" s="16">
        <v>45</v>
      </c>
      <c r="D204" s="16" t="s">
        <v>85</v>
      </c>
      <c r="E204" s="17">
        <v>5.0750000000000002</v>
      </c>
      <c r="F204" s="18">
        <f>69700+1000</f>
        <v>70700</v>
      </c>
      <c r="N204" s="21"/>
      <c r="O204" s="22"/>
    </row>
    <row r="205" spans="1:15" s="10" customFormat="1" x14ac:dyDescent="0.25">
      <c r="A205" s="16">
        <v>89</v>
      </c>
      <c r="B205" s="16">
        <v>20</v>
      </c>
      <c r="C205" s="16" t="s">
        <v>5</v>
      </c>
      <c r="D205" s="16" t="s">
        <v>85</v>
      </c>
      <c r="E205" s="17">
        <v>4.8029999999999999</v>
      </c>
      <c r="F205" s="18">
        <f>81700+1000</f>
        <v>82700</v>
      </c>
      <c r="N205" s="21"/>
      <c r="O205" s="22"/>
    </row>
    <row r="206" spans="1:15" s="10" customFormat="1" x14ac:dyDescent="0.25">
      <c r="A206" s="16">
        <v>89</v>
      </c>
      <c r="B206" s="16">
        <v>22</v>
      </c>
      <c r="C206" s="16">
        <v>35</v>
      </c>
      <c r="D206" s="16" t="s">
        <v>85</v>
      </c>
      <c r="E206" s="17">
        <f>4.62-0.224</f>
        <v>4.3959999999999999</v>
      </c>
      <c r="F206" s="18">
        <f>69700+1000</f>
        <v>70700</v>
      </c>
      <c r="N206" s="21"/>
      <c r="O206" s="22"/>
    </row>
    <row r="207" spans="1:15" s="10" customFormat="1" x14ac:dyDescent="0.25">
      <c r="A207" s="16">
        <v>89</v>
      </c>
      <c r="B207" s="16">
        <v>22</v>
      </c>
      <c r="C207" s="16">
        <v>35</v>
      </c>
      <c r="D207" s="16" t="s">
        <v>85</v>
      </c>
      <c r="E207" s="17">
        <f>0.451-0.216</f>
        <v>0.23500000000000001</v>
      </c>
      <c r="F207" s="18">
        <f>69700+1000</f>
        <v>70700</v>
      </c>
      <c r="N207" s="21"/>
      <c r="O207" s="22"/>
    </row>
    <row r="208" spans="1:15" s="10" customFormat="1" x14ac:dyDescent="0.25">
      <c r="A208" s="16">
        <v>89</v>
      </c>
      <c r="B208" s="16">
        <v>22</v>
      </c>
      <c r="C208" s="16">
        <v>35</v>
      </c>
      <c r="D208" s="16" t="s">
        <v>2</v>
      </c>
      <c r="E208" s="17">
        <v>5.1139999999999999</v>
      </c>
      <c r="F208" s="18">
        <f>69700+1000</f>
        <v>70700</v>
      </c>
      <c r="N208" s="21"/>
      <c r="O208" s="22"/>
    </row>
    <row r="209" spans="1:15" s="10" customFormat="1" x14ac:dyDescent="0.25">
      <c r="A209" s="16">
        <v>89</v>
      </c>
      <c r="B209" s="16">
        <v>22</v>
      </c>
      <c r="C209" s="16">
        <v>45</v>
      </c>
      <c r="D209" s="16" t="s">
        <v>2</v>
      </c>
      <c r="E209" s="17">
        <v>4.0629999999999997</v>
      </c>
      <c r="F209" s="18">
        <f>66700+3000+1000</f>
        <v>70700</v>
      </c>
      <c r="N209" s="21"/>
      <c r="O209" s="22"/>
    </row>
    <row r="210" spans="1:15" s="10" customFormat="1" x14ac:dyDescent="0.25">
      <c r="A210" s="16">
        <v>89</v>
      </c>
      <c r="B210" s="16">
        <v>22</v>
      </c>
      <c r="C210" s="16">
        <v>45</v>
      </c>
      <c r="D210" s="16" t="s">
        <v>2</v>
      </c>
      <c r="E210" s="17">
        <v>1</v>
      </c>
      <c r="F210" s="18">
        <f>66700+3000+1000</f>
        <v>70700</v>
      </c>
      <c r="N210" s="21"/>
      <c r="O210" s="22"/>
    </row>
    <row r="211" spans="1:15" s="10" customFormat="1" x14ac:dyDescent="0.25">
      <c r="A211" s="16">
        <v>89</v>
      </c>
      <c r="B211" s="16">
        <v>22</v>
      </c>
      <c r="C211" s="16" t="s">
        <v>0</v>
      </c>
      <c r="D211" s="16" t="s">
        <v>2</v>
      </c>
      <c r="E211" s="17">
        <v>4.84</v>
      </c>
      <c r="F211" s="18">
        <f>68700+3000+1000</f>
        <v>72700</v>
      </c>
      <c r="N211" s="21"/>
      <c r="O211" s="22"/>
    </row>
    <row r="212" spans="1:15" s="10" customFormat="1" x14ac:dyDescent="0.25">
      <c r="A212" s="16">
        <v>89</v>
      </c>
      <c r="B212" s="16">
        <v>22</v>
      </c>
      <c r="C212" s="16" t="s">
        <v>0</v>
      </c>
      <c r="D212" s="16" t="s">
        <v>2</v>
      </c>
      <c r="E212" s="17">
        <v>2.06</v>
      </c>
      <c r="F212" s="18">
        <f>68700+3000+1000</f>
        <v>72700</v>
      </c>
      <c r="N212" s="21"/>
      <c r="O212" s="22"/>
    </row>
    <row r="213" spans="1:15" s="10" customFormat="1" x14ac:dyDescent="0.25">
      <c r="A213" s="16">
        <v>89</v>
      </c>
      <c r="B213" s="16">
        <v>22</v>
      </c>
      <c r="C213" s="16" t="s">
        <v>5</v>
      </c>
      <c r="D213" s="16" t="s">
        <v>2</v>
      </c>
      <c r="E213" s="17">
        <f>5.476-0.15-0.212-0.01-0.038-0.644-0.21</f>
        <v>4.2119999999999997</v>
      </c>
      <c r="F213" s="18">
        <f>81700+1000</f>
        <v>82700</v>
      </c>
      <c r="N213" s="21"/>
      <c r="O213" s="22"/>
    </row>
    <row r="214" spans="1:15" s="10" customFormat="1" x14ac:dyDescent="0.25">
      <c r="A214" s="16">
        <v>89</v>
      </c>
      <c r="B214" s="16">
        <v>22</v>
      </c>
      <c r="C214" s="16" t="s">
        <v>84</v>
      </c>
      <c r="D214" s="16" t="s">
        <v>2</v>
      </c>
      <c r="E214" s="17">
        <f>6.671-3.794</f>
        <v>2.8770000000000002</v>
      </c>
      <c r="F214" s="18">
        <v>151700</v>
      </c>
      <c r="N214" s="21"/>
      <c r="O214" s="22"/>
    </row>
    <row r="215" spans="1:15" s="10" customFormat="1" x14ac:dyDescent="0.25">
      <c r="A215" s="16">
        <v>89</v>
      </c>
      <c r="B215" s="16">
        <v>24</v>
      </c>
      <c r="C215" s="16">
        <v>20</v>
      </c>
      <c r="D215" s="16" t="s">
        <v>2</v>
      </c>
      <c r="E215" s="17">
        <f>5.1-0.466</f>
        <v>4.6339999999999995</v>
      </c>
      <c r="F215" s="18">
        <f>68700+1000</f>
        <v>69700</v>
      </c>
      <c r="N215" s="21"/>
      <c r="O215" s="22"/>
    </row>
    <row r="216" spans="1:15" s="10" customFormat="1" x14ac:dyDescent="0.25">
      <c r="A216" s="16">
        <v>90</v>
      </c>
      <c r="B216" s="16">
        <v>5</v>
      </c>
      <c r="C216" s="16">
        <v>20</v>
      </c>
      <c r="D216" s="16" t="s">
        <v>1</v>
      </c>
      <c r="E216" s="17">
        <f>22.644-0.66-0.032-0.38-0.19-0.064-0.032</f>
        <v>21.285999999999998</v>
      </c>
      <c r="F216" s="18">
        <f>57700+3000+1000+8000</f>
        <v>69700</v>
      </c>
      <c r="N216" s="21"/>
      <c r="O216" s="22"/>
    </row>
    <row r="217" spans="1:15" s="10" customFormat="1" x14ac:dyDescent="0.25">
      <c r="A217" s="16">
        <v>90</v>
      </c>
      <c r="B217" s="16">
        <v>5</v>
      </c>
      <c r="C217" s="16">
        <v>20</v>
      </c>
      <c r="D217" s="16" t="s">
        <v>1</v>
      </c>
      <c r="E217" s="17">
        <v>0.755</v>
      </c>
      <c r="F217" s="18">
        <f>57700+3000+1000+8000</f>
        <v>69700</v>
      </c>
      <c r="N217" s="21"/>
      <c r="O217" s="22"/>
    </row>
    <row r="218" spans="1:15" s="10" customFormat="1" x14ac:dyDescent="0.25">
      <c r="A218" s="16">
        <v>90.5</v>
      </c>
      <c r="B218" s="16">
        <v>8.8000000000000007</v>
      </c>
      <c r="C218" s="16">
        <v>35</v>
      </c>
      <c r="D218" s="16" t="s">
        <v>51</v>
      </c>
      <c r="E218" s="17">
        <f>1.68-0.19</f>
        <v>1.49</v>
      </c>
      <c r="F218" s="18">
        <f>150000+1000</f>
        <v>151000</v>
      </c>
      <c r="N218" s="21"/>
      <c r="O218" s="22"/>
    </row>
    <row r="219" spans="1:15" s="10" customFormat="1" x14ac:dyDescent="0.25">
      <c r="A219" s="16">
        <v>93</v>
      </c>
      <c r="B219" s="16">
        <v>21</v>
      </c>
      <c r="C219" s="16" t="s">
        <v>7</v>
      </c>
      <c r="D219" s="16" t="s">
        <v>2</v>
      </c>
      <c r="E219" s="17">
        <f>5.25-0.231-1.841-0.039-0.037</f>
        <v>3.1019999999999999</v>
      </c>
      <c r="F219" s="18">
        <f>78700+3000+1000</f>
        <v>82700</v>
      </c>
      <c r="N219" s="21"/>
      <c r="O219" s="22"/>
    </row>
    <row r="220" spans="1:15" s="10" customFormat="1" x14ac:dyDescent="0.25">
      <c r="A220" s="16">
        <v>95</v>
      </c>
      <c r="B220" s="16">
        <v>5</v>
      </c>
      <c r="C220" s="16">
        <v>20</v>
      </c>
      <c r="D220" s="16" t="s">
        <v>2</v>
      </c>
      <c r="E220" s="17">
        <f>0.299-0.04-0.084-0.085</f>
        <v>8.9999999999999983E-2</v>
      </c>
      <c r="F220" s="18">
        <f>68700+1000</f>
        <v>69700</v>
      </c>
      <c r="N220" s="21"/>
      <c r="O220" s="22"/>
    </row>
    <row r="221" spans="1:15" s="10" customFormat="1" x14ac:dyDescent="0.25">
      <c r="A221" s="16">
        <v>95</v>
      </c>
      <c r="B221" s="16">
        <v>7</v>
      </c>
      <c r="C221" s="16">
        <v>35</v>
      </c>
      <c r="D221" s="16" t="s">
        <v>2</v>
      </c>
      <c r="E221" s="17">
        <f>1.763-0.128-0.062</f>
        <v>1.5729999999999997</v>
      </c>
      <c r="F221" s="18">
        <f>66700+3000+1000</f>
        <v>70700</v>
      </c>
      <c r="N221" s="21"/>
      <c r="O221" s="22"/>
    </row>
    <row r="222" spans="1:15" s="10" customFormat="1" x14ac:dyDescent="0.25">
      <c r="A222" s="16">
        <v>95</v>
      </c>
      <c r="B222" s="16">
        <v>10</v>
      </c>
      <c r="C222" s="16" t="s">
        <v>0</v>
      </c>
      <c r="D222" s="16" t="s">
        <v>2</v>
      </c>
      <c r="E222" s="17">
        <f>9.65-0.143-0.148-0.048-0.022-0.101-0.602</f>
        <v>8.5859999999999985</v>
      </c>
      <c r="F222" s="18">
        <f>68700+3000+1000</f>
        <v>72700</v>
      </c>
      <c r="N222" s="21"/>
      <c r="O222" s="22"/>
    </row>
    <row r="223" spans="1:15" s="10" customFormat="1" x14ac:dyDescent="0.25">
      <c r="A223" s="16">
        <v>95</v>
      </c>
      <c r="B223" s="16">
        <v>12</v>
      </c>
      <c r="C223" s="16" t="s">
        <v>7</v>
      </c>
      <c r="D223" s="16" t="s">
        <v>85</v>
      </c>
      <c r="E223" s="17">
        <v>5.85</v>
      </c>
      <c r="F223" s="18">
        <f>81700+1000</f>
        <v>82700</v>
      </c>
      <c r="N223" s="21"/>
      <c r="O223" s="22"/>
    </row>
    <row r="224" spans="1:15" s="10" customFormat="1" x14ac:dyDescent="0.25">
      <c r="A224" s="16">
        <v>95</v>
      </c>
      <c r="B224" s="16">
        <v>14</v>
      </c>
      <c r="C224" s="16">
        <v>20</v>
      </c>
      <c r="D224" s="16" t="s">
        <v>2</v>
      </c>
      <c r="E224" s="17">
        <f>0.497-0.166-0.167+0.002</f>
        <v>0.16599999999999995</v>
      </c>
      <c r="F224" s="18">
        <f>65700+3000+1000</f>
        <v>69700</v>
      </c>
      <c r="N224" s="21"/>
      <c r="O224" s="22"/>
    </row>
    <row r="225" spans="1:15" s="10" customFormat="1" x14ac:dyDescent="0.25">
      <c r="A225" s="16">
        <v>95</v>
      </c>
      <c r="B225" s="16">
        <v>14</v>
      </c>
      <c r="C225" s="16">
        <v>20</v>
      </c>
      <c r="D225" s="16" t="s">
        <v>2</v>
      </c>
      <c r="E225" s="17">
        <v>0.49</v>
      </c>
      <c r="F225" s="18">
        <f>65700+3000+1000</f>
        <v>69700</v>
      </c>
      <c r="N225" s="21"/>
      <c r="O225" s="22"/>
    </row>
    <row r="226" spans="1:15" s="10" customFormat="1" x14ac:dyDescent="0.25">
      <c r="A226" s="16">
        <v>95</v>
      </c>
      <c r="B226" s="16">
        <v>14</v>
      </c>
      <c r="C226" s="16">
        <v>20</v>
      </c>
      <c r="D226" s="16" t="s">
        <v>2</v>
      </c>
      <c r="E226" s="17">
        <f>1.7-0.057</f>
        <v>1.643</v>
      </c>
      <c r="F226" s="18">
        <f>65700+3000+1000</f>
        <v>69700</v>
      </c>
      <c r="N226" s="21"/>
      <c r="O226" s="22"/>
    </row>
    <row r="227" spans="1:15" s="10" customFormat="1" x14ac:dyDescent="0.25">
      <c r="A227" s="16">
        <v>95</v>
      </c>
      <c r="B227" s="16">
        <v>14</v>
      </c>
      <c r="C227" s="16">
        <v>20</v>
      </c>
      <c r="D227" s="16" t="s">
        <v>2</v>
      </c>
      <c r="E227" s="17">
        <v>2.835</v>
      </c>
      <c r="F227" s="18">
        <f>65700+3000+1000</f>
        <v>69700</v>
      </c>
      <c r="N227" s="21"/>
      <c r="O227" s="22"/>
    </row>
    <row r="228" spans="1:15" s="10" customFormat="1" x14ac:dyDescent="0.25">
      <c r="A228" s="16">
        <v>95</v>
      </c>
      <c r="B228" s="16">
        <v>14</v>
      </c>
      <c r="C228" s="16" t="s">
        <v>7</v>
      </c>
      <c r="D228" s="16" t="s">
        <v>85</v>
      </c>
      <c r="E228" s="17">
        <v>5.7450000000000001</v>
      </c>
      <c r="F228" s="18">
        <f>81700+1000</f>
        <v>82700</v>
      </c>
      <c r="N228" s="21"/>
      <c r="O228" s="22"/>
    </row>
    <row r="229" spans="1:15" s="10" customFormat="1" x14ac:dyDescent="0.25">
      <c r="A229" s="16">
        <v>95</v>
      </c>
      <c r="B229" s="16">
        <v>16</v>
      </c>
      <c r="C229" s="16">
        <v>20</v>
      </c>
      <c r="D229" s="16" t="s">
        <v>2</v>
      </c>
      <c r="E229" s="17">
        <f>0.508-0.048-0.339+0.001</f>
        <v>0.122</v>
      </c>
      <c r="F229" s="18">
        <f>65700+3000+1000</f>
        <v>69700</v>
      </c>
      <c r="N229" s="21"/>
      <c r="O229" s="22"/>
    </row>
    <row r="230" spans="1:15" s="10" customFormat="1" x14ac:dyDescent="0.25">
      <c r="A230" s="16">
        <v>95</v>
      </c>
      <c r="B230" s="16">
        <v>16</v>
      </c>
      <c r="C230" s="16">
        <v>20</v>
      </c>
      <c r="D230" s="16" t="s">
        <v>2</v>
      </c>
      <c r="E230" s="17">
        <f>5.315-0.161-0.41-0.261-0.313-0.235-0.166-0.29-0.46-0.32-0.309</f>
        <v>2.390000000000001</v>
      </c>
      <c r="F230" s="18">
        <f>65700+3000+1000</f>
        <v>69700</v>
      </c>
      <c r="N230" s="21"/>
      <c r="O230" s="22"/>
    </row>
    <row r="231" spans="1:15" s="10" customFormat="1" x14ac:dyDescent="0.25">
      <c r="A231" s="16">
        <v>95</v>
      </c>
      <c r="B231" s="16">
        <v>16</v>
      </c>
      <c r="C231" s="16" t="s">
        <v>7</v>
      </c>
      <c r="D231" s="16" t="s">
        <v>85</v>
      </c>
      <c r="E231" s="17">
        <v>5.4249999999999998</v>
      </c>
      <c r="F231" s="18">
        <f>81700+1000</f>
        <v>82700</v>
      </c>
      <c r="N231" s="21"/>
      <c r="O231" s="22"/>
    </row>
    <row r="232" spans="1:15" s="10" customFormat="1" x14ac:dyDescent="0.25">
      <c r="A232" s="16">
        <v>95</v>
      </c>
      <c r="B232" s="16">
        <v>20</v>
      </c>
      <c r="C232" s="16">
        <v>35</v>
      </c>
      <c r="D232" s="16" t="s">
        <v>2</v>
      </c>
      <c r="E232" s="17">
        <f>0.33-0.123</f>
        <v>0.20700000000000002</v>
      </c>
      <c r="F232" s="18">
        <f>66700+3000+1000</f>
        <v>70700</v>
      </c>
      <c r="N232" s="21"/>
      <c r="O232" s="22"/>
    </row>
    <row r="233" spans="1:15" s="10" customFormat="1" x14ac:dyDescent="0.25">
      <c r="A233" s="16">
        <v>95</v>
      </c>
      <c r="B233" s="16">
        <v>20</v>
      </c>
      <c r="C233" s="16">
        <v>35</v>
      </c>
      <c r="D233" s="16" t="s">
        <v>85</v>
      </c>
      <c r="E233" s="17">
        <v>5.19</v>
      </c>
      <c r="F233" s="18">
        <f>69700+1000</f>
        <v>70700</v>
      </c>
      <c r="N233" s="21"/>
      <c r="O233" s="22"/>
    </row>
    <row r="234" spans="1:15" s="10" customFormat="1" x14ac:dyDescent="0.25">
      <c r="A234" s="16">
        <v>95</v>
      </c>
      <c r="B234" s="16">
        <v>20</v>
      </c>
      <c r="C234" s="16" t="s">
        <v>7</v>
      </c>
      <c r="D234" s="16" t="s">
        <v>2</v>
      </c>
      <c r="E234" s="17">
        <f>5.003-2.14-0.039-0.479-0.724-0.949-0.202-0.065-0.174</f>
        <v>0.23099999999999982</v>
      </c>
      <c r="F234" s="18">
        <f>78700+3000+1000</f>
        <v>82700</v>
      </c>
      <c r="N234" s="21"/>
      <c r="O234" s="22"/>
    </row>
    <row r="235" spans="1:15" s="10" customFormat="1" x14ac:dyDescent="0.25">
      <c r="A235" s="16">
        <v>95</v>
      </c>
      <c r="B235" s="16">
        <v>20</v>
      </c>
      <c r="C235" s="16" t="s">
        <v>7</v>
      </c>
      <c r="D235" s="16" t="s">
        <v>85</v>
      </c>
      <c r="E235" s="17">
        <v>2.5449999999999999</v>
      </c>
      <c r="F235" s="18">
        <f>81700+1000</f>
        <v>82700</v>
      </c>
      <c r="N235" s="21"/>
      <c r="O235" s="22"/>
    </row>
    <row r="236" spans="1:15" s="10" customFormat="1" x14ac:dyDescent="0.25">
      <c r="A236" s="16">
        <v>95</v>
      </c>
      <c r="B236" s="16">
        <v>20</v>
      </c>
      <c r="C236" s="16" t="s">
        <v>7</v>
      </c>
      <c r="D236" s="16" t="s">
        <v>85</v>
      </c>
      <c r="E236" s="17">
        <v>2.67</v>
      </c>
      <c r="F236" s="18">
        <f>81700+1000</f>
        <v>82700</v>
      </c>
      <c r="N236" s="21"/>
      <c r="O236" s="22"/>
    </row>
    <row r="237" spans="1:15" s="10" customFormat="1" x14ac:dyDescent="0.25">
      <c r="A237" s="16">
        <v>95</v>
      </c>
      <c r="B237" s="16">
        <v>22</v>
      </c>
      <c r="C237" s="16" t="s">
        <v>5</v>
      </c>
      <c r="D237" s="16" t="s">
        <v>85</v>
      </c>
      <c r="E237" s="17">
        <f>4.605-0.474-0.237-0.236</f>
        <v>3.6580000000000004</v>
      </c>
      <c r="F237" s="18">
        <f>81700+1000</f>
        <v>82700</v>
      </c>
      <c r="N237" s="21"/>
      <c r="O237" s="22"/>
    </row>
    <row r="238" spans="1:15" s="10" customFormat="1" x14ac:dyDescent="0.25">
      <c r="A238" s="16">
        <v>95</v>
      </c>
      <c r="B238" s="16">
        <v>22</v>
      </c>
      <c r="C238" s="16" t="s">
        <v>5</v>
      </c>
      <c r="D238" s="16" t="s">
        <v>85</v>
      </c>
      <c r="E238" s="17">
        <f>0.451-0.121</f>
        <v>0.33</v>
      </c>
      <c r="F238" s="18">
        <f>81700+1000</f>
        <v>82700</v>
      </c>
      <c r="N238" s="21"/>
      <c r="O238" s="22"/>
    </row>
    <row r="239" spans="1:15" s="10" customFormat="1" x14ac:dyDescent="0.25">
      <c r="A239" s="16">
        <v>95</v>
      </c>
      <c r="B239" s="16">
        <v>22</v>
      </c>
      <c r="C239" s="16" t="s">
        <v>7</v>
      </c>
      <c r="D239" s="16" t="s">
        <v>85</v>
      </c>
      <c r="E239" s="17">
        <f>5.419-0.977-0.39-1.567</f>
        <v>2.4849999999999994</v>
      </c>
      <c r="F239" s="18">
        <f>81700+1000</f>
        <v>82700</v>
      </c>
      <c r="N239" s="21"/>
      <c r="O239" s="22"/>
    </row>
    <row r="240" spans="1:15" s="10" customFormat="1" x14ac:dyDescent="0.25">
      <c r="A240" s="16">
        <v>95</v>
      </c>
      <c r="B240" s="16">
        <v>24</v>
      </c>
      <c r="C240" s="16">
        <v>35</v>
      </c>
      <c r="D240" s="16" t="s">
        <v>2</v>
      </c>
      <c r="E240" s="17">
        <f>5.679-0.128-0.251-1.496-0.242</f>
        <v>3.5619999999999998</v>
      </c>
      <c r="F240" s="18">
        <f>66700+3000+1000</f>
        <v>70700</v>
      </c>
      <c r="N240" s="21"/>
      <c r="O240" s="22"/>
    </row>
    <row r="241" spans="1:15" s="10" customFormat="1" x14ac:dyDescent="0.25">
      <c r="A241" s="16">
        <v>102</v>
      </c>
      <c r="B241" s="16">
        <v>5</v>
      </c>
      <c r="C241" s="16" t="s">
        <v>0</v>
      </c>
      <c r="D241" s="16" t="s">
        <v>13</v>
      </c>
      <c r="E241" s="17">
        <v>0.5</v>
      </c>
      <c r="F241" s="18">
        <f>68700+3000+1000</f>
        <v>72700</v>
      </c>
      <c r="N241" s="21"/>
      <c r="O241" s="22"/>
    </row>
    <row r="242" spans="1:15" s="10" customFormat="1" x14ac:dyDescent="0.25">
      <c r="A242" s="16">
        <v>102</v>
      </c>
      <c r="B242" s="16">
        <v>5</v>
      </c>
      <c r="C242" s="16" t="s">
        <v>0</v>
      </c>
      <c r="D242" s="16" t="s">
        <v>13</v>
      </c>
      <c r="E242" s="17">
        <f>4.89-0.025-0.375-0.414-0.015-0.101-0.006-2.15</f>
        <v>1.8040000000000003</v>
      </c>
      <c r="F242" s="18">
        <f>68700+3000+1000</f>
        <v>72700</v>
      </c>
      <c r="N242" s="21"/>
      <c r="O242" s="22"/>
    </row>
    <row r="243" spans="1:15" s="10" customFormat="1" x14ac:dyDescent="0.25">
      <c r="A243" s="16">
        <v>102</v>
      </c>
      <c r="B243" s="16">
        <v>7</v>
      </c>
      <c r="C243" s="16">
        <v>20</v>
      </c>
      <c r="D243" s="16" t="s">
        <v>2</v>
      </c>
      <c r="E243" s="17">
        <f>0.099-0.023-0.026-0.031</f>
        <v>1.9000000000000017E-2</v>
      </c>
      <c r="F243" s="18">
        <f>65700+3000+1000</f>
        <v>69700</v>
      </c>
      <c r="N243" s="21"/>
      <c r="O243" s="22"/>
    </row>
    <row r="244" spans="1:15" s="10" customFormat="1" x14ac:dyDescent="0.25">
      <c r="A244" s="16">
        <v>102</v>
      </c>
      <c r="B244" s="16">
        <v>7</v>
      </c>
      <c r="C244" s="16" t="s">
        <v>0</v>
      </c>
      <c r="D244" s="16" t="s">
        <v>85</v>
      </c>
      <c r="E244" s="17">
        <v>5</v>
      </c>
      <c r="F244" s="18">
        <v>72700</v>
      </c>
      <c r="N244" s="21"/>
      <c r="O244" s="22"/>
    </row>
    <row r="245" spans="1:15" s="10" customFormat="1" x14ac:dyDescent="0.25">
      <c r="A245" s="16">
        <v>102</v>
      </c>
      <c r="B245" s="16">
        <v>8</v>
      </c>
      <c r="C245" s="16">
        <v>20</v>
      </c>
      <c r="D245" s="16" t="s">
        <v>2</v>
      </c>
      <c r="E245" s="17">
        <v>4.4000000000000004</v>
      </c>
      <c r="F245" s="18">
        <v>69700</v>
      </c>
      <c r="N245" s="21"/>
      <c r="O245" s="22"/>
    </row>
    <row r="246" spans="1:15" s="10" customFormat="1" x14ac:dyDescent="0.25">
      <c r="A246" s="16">
        <v>102</v>
      </c>
      <c r="B246" s="16">
        <v>12</v>
      </c>
      <c r="C246" s="16" t="s">
        <v>0</v>
      </c>
      <c r="D246" s="16" t="s">
        <v>85</v>
      </c>
      <c r="E246" s="17">
        <f>4.937-0.159-0.34-0.17-0.163-0.096-0.316-0.075-0.169</f>
        <v>3.4490000000000003</v>
      </c>
      <c r="F246" s="18">
        <f>68700+3000+1000</f>
        <v>72700</v>
      </c>
      <c r="N246" s="21"/>
      <c r="O246" s="22"/>
    </row>
    <row r="247" spans="1:15" s="10" customFormat="1" x14ac:dyDescent="0.25">
      <c r="A247" s="16">
        <v>102</v>
      </c>
      <c r="B247" s="16">
        <v>14</v>
      </c>
      <c r="C247" s="16">
        <v>20</v>
      </c>
      <c r="D247" s="16" t="s">
        <v>2</v>
      </c>
      <c r="E247" s="17">
        <f>3.917-0.2-0.026-0.595-0.198-0.196-0.026-0.095-0.2-0.078-0.169-0.056-0.391-0.145-0.06-0.14</f>
        <v>1.3419999999999996</v>
      </c>
      <c r="F247" s="18">
        <f>65700+3000+1000</f>
        <v>69700</v>
      </c>
      <c r="N247" s="21"/>
      <c r="O247" s="22"/>
    </row>
    <row r="248" spans="1:15" s="10" customFormat="1" x14ac:dyDescent="0.25">
      <c r="A248" s="16">
        <v>102</v>
      </c>
      <c r="B248" s="16">
        <v>16</v>
      </c>
      <c r="C248" s="16" t="s">
        <v>0</v>
      </c>
      <c r="D248" s="16" t="s">
        <v>2</v>
      </c>
      <c r="E248" s="17">
        <f>4.95-0.114-0.657-0.069-0.057-1.799-0.173-0.179-0.013-0.102-0.159-0.375-0.362-0.378-0.053-0.069-0.053</f>
        <v>0.33799999999999991</v>
      </c>
      <c r="F248" s="18">
        <f>68700+3000+1000</f>
        <v>72700</v>
      </c>
      <c r="N248" s="21"/>
      <c r="O248" s="22"/>
    </row>
    <row r="249" spans="1:15" s="10" customFormat="1" x14ac:dyDescent="0.25">
      <c r="A249" s="16">
        <v>102</v>
      </c>
      <c r="B249" s="16">
        <v>16</v>
      </c>
      <c r="C249" s="16" t="s">
        <v>0</v>
      </c>
      <c r="D249" s="16" t="s">
        <v>85</v>
      </c>
      <c r="E249" s="17">
        <v>4.6150000000000002</v>
      </c>
      <c r="F249" s="18">
        <f>68700+3000+1000</f>
        <v>72700</v>
      </c>
      <c r="N249" s="21"/>
      <c r="O249" s="22"/>
    </row>
    <row r="250" spans="1:15" s="10" customFormat="1" x14ac:dyDescent="0.25">
      <c r="A250" s="16">
        <v>102</v>
      </c>
      <c r="B250" s="16">
        <v>18</v>
      </c>
      <c r="C250" s="16">
        <v>20</v>
      </c>
      <c r="D250" s="16" t="s">
        <v>2</v>
      </c>
      <c r="E250" s="17">
        <f>5.099-0.241-0.487-0.235-0.486-0.039-0.041-0.169-0.041-0.041-0.242-0.483-0.122-0.041</f>
        <v>2.4310000000000005</v>
      </c>
      <c r="F250" s="18">
        <f>65700+3000+1000</f>
        <v>69700</v>
      </c>
      <c r="N250" s="21"/>
      <c r="O250" s="22"/>
    </row>
    <row r="251" spans="1:15" s="10" customFormat="1" x14ac:dyDescent="0.25">
      <c r="A251" s="16">
        <v>102</v>
      </c>
      <c r="B251" s="16">
        <v>18</v>
      </c>
      <c r="C251" s="16">
        <v>20</v>
      </c>
      <c r="D251" s="16" t="s">
        <v>2</v>
      </c>
      <c r="E251" s="17">
        <f>3.376-0.73-0.461-1.467</f>
        <v>0.71799999999999997</v>
      </c>
      <c r="F251" s="18">
        <f>65700+3000+1000</f>
        <v>69700</v>
      </c>
      <c r="N251" s="21"/>
      <c r="O251" s="22"/>
    </row>
    <row r="252" spans="1:15" s="10" customFormat="1" x14ac:dyDescent="0.25">
      <c r="A252" s="16">
        <v>102</v>
      </c>
      <c r="B252" s="16">
        <v>18</v>
      </c>
      <c r="C252" s="16" t="s">
        <v>0</v>
      </c>
      <c r="D252" s="16" t="s">
        <v>2</v>
      </c>
      <c r="E252" s="17">
        <f>4.94-0.243-1.01-0.256</f>
        <v>3.431</v>
      </c>
      <c r="F252" s="18">
        <f>68700+3000+1000</f>
        <v>72700</v>
      </c>
      <c r="N252" s="21"/>
      <c r="O252" s="22"/>
    </row>
    <row r="253" spans="1:15" s="10" customFormat="1" x14ac:dyDescent="0.25">
      <c r="A253" s="16">
        <v>102</v>
      </c>
      <c r="B253" s="16">
        <v>20</v>
      </c>
      <c r="C253" s="16" t="s">
        <v>0</v>
      </c>
      <c r="D253" s="16" t="s">
        <v>85</v>
      </c>
      <c r="E253" s="17">
        <v>5</v>
      </c>
      <c r="F253" s="18">
        <f>68700+3000+1000</f>
        <v>72700</v>
      </c>
      <c r="N253" s="21"/>
      <c r="O253" s="22"/>
    </row>
    <row r="254" spans="1:15" s="10" customFormat="1" x14ac:dyDescent="0.25">
      <c r="A254" s="16">
        <v>102</v>
      </c>
      <c r="B254" s="16">
        <v>20</v>
      </c>
      <c r="C254" s="16" t="s">
        <v>5</v>
      </c>
      <c r="D254" s="16" t="s">
        <v>85</v>
      </c>
      <c r="E254" s="17">
        <f>5.122-0.263</f>
        <v>4.859</v>
      </c>
      <c r="F254" s="18">
        <f>81700+1000</f>
        <v>82700</v>
      </c>
      <c r="N254" s="21"/>
      <c r="O254" s="22"/>
    </row>
    <row r="255" spans="1:15" s="10" customFormat="1" x14ac:dyDescent="0.25">
      <c r="A255" s="16">
        <v>102</v>
      </c>
      <c r="B255" s="16">
        <v>20</v>
      </c>
      <c r="C255" s="16">
        <v>45</v>
      </c>
      <c r="D255" s="16" t="s">
        <v>2</v>
      </c>
      <c r="E255" s="17">
        <v>5</v>
      </c>
      <c r="F255" s="18">
        <f>69700+1000</f>
        <v>70700</v>
      </c>
      <c r="N255" s="21"/>
      <c r="O255" s="22"/>
    </row>
    <row r="256" spans="1:15" s="10" customFormat="1" x14ac:dyDescent="0.25">
      <c r="A256" s="16">
        <v>102</v>
      </c>
      <c r="B256" s="16">
        <v>22</v>
      </c>
      <c r="C256" s="16">
        <v>20</v>
      </c>
      <c r="D256" s="16" t="s">
        <v>2</v>
      </c>
      <c r="E256" s="17">
        <f>4.99-0.282-0.047</f>
        <v>4.6610000000000005</v>
      </c>
      <c r="F256" s="18">
        <f>65700+3000+1000</f>
        <v>69700</v>
      </c>
      <c r="N256" s="21"/>
      <c r="O256" s="22"/>
    </row>
    <row r="257" spans="1:15" s="10" customFormat="1" x14ac:dyDescent="0.25">
      <c r="A257" s="16">
        <v>102</v>
      </c>
      <c r="B257" s="16">
        <v>22</v>
      </c>
      <c r="C257" s="16">
        <v>20</v>
      </c>
      <c r="D257" s="16" t="s">
        <v>85</v>
      </c>
      <c r="E257" s="17">
        <v>5.0129999999999999</v>
      </c>
      <c r="F257" s="18">
        <f>68700+1000</f>
        <v>69700</v>
      </c>
      <c r="N257" s="21"/>
      <c r="O257" s="22"/>
    </row>
    <row r="258" spans="1:15" s="10" customFormat="1" x14ac:dyDescent="0.25">
      <c r="A258" s="16">
        <v>102</v>
      </c>
      <c r="B258" s="16">
        <v>22</v>
      </c>
      <c r="C258" s="16">
        <v>45</v>
      </c>
      <c r="D258" s="16" t="s">
        <v>2</v>
      </c>
      <c r="E258" s="17">
        <v>5</v>
      </c>
      <c r="F258" s="18">
        <v>70700</v>
      </c>
      <c r="N258" s="21"/>
      <c r="O258" s="22"/>
    </row>
    <row r="259" spans="1:15" s="10" customFormat="1" x14ac:dyDescent="0.25">
      <c r="A259" s="16">
        <v>102</v>
      </c>
      <c r="B259" s="16">
        <v>24</v>
      </c>
      <c r="C259" s="16" t="s">
        <v>7</v>
      </c>
      <c r="D259" s="16" t="s">
        <v>2</v>
      </c>
      <c r="E259" s="17">
        <f>4.104-0.591</f>
        <v>3.5129999999999999</v>
      </c>
      <c r="F259" s="18">
        <f>78700+3000+1000</f>
        <v>82700</v>
      </c>
      <c r="N259" s="21"/>
      <c r="O259" s="22"/>
    </row>
    <row r="260" spans="1:15" s="10" customFormat="1" x14ac:dyDescent="0.25">
      <c r="A260" s="16">
        <v>102</v>
      </c>
      <c r="B260" s="16">
        <v>24</v>
      </c>
      <c r="C260" s="16" t="s">
        <v>7</v>
      </c>
      <c r="D260" s="16" t="s">
        <v>2</v>
      </c>
      <c r="E260" s="17">
        <v>1</v>
      </c>
      <c r="F260" s="18">
        <f>78700+3000+1000</f>
        <v>82700</v>
      </c>
      <c r="N260" s="21"/>
      <c r="O260" s="22"/>
    </row>
    <row r="261" spans="1:15" s="10" customFormat="1" x14ac:dyDescent="0.25">
      <c r="A261" s="16">
        <v>102</v>
      </c>
      <c r="B261" s="16">
        <v>25</v>
      </c>
      <c r="C261" s="16">
        <v>20</v>
      </c>
      <c r="D261" s="16" t="s">
        <v>2</v>
      </c>
      <c r="E261" s="17">
        <v>5.2640000000000002</v>
      </c>
      <c r="F261" s="18">
        <f>68700+1000</f>
        <v>69700</v>
      </c>
      <c r="N261" s="21"/>
      <c r="O261" s="22"/>
    </row>
    <row r="262" spans="1:15" s="10" customFormat="1" x14ac:dyDescent="0.25">
      <c r="A262" s="16">
        <v>104</v>
      </c>
      <c r="B262" s="16">
        <v>22</v>
      </c>
      <c r="C262" s="16" t="s">
        <v>7</v>
      </c>
      <c r="D262" s="16" t="s">
        <v>85</v>
      </c>
      <c r="E262" s="17">
        <v>5</v>
      </c>
      <c r="F262" s="18">
        <f>81700+1000</f>
        <v>82700</v>
      </c>
      <c r="N262" s="21"/>
      <c r="O262" s="22"/>
    </row>
    <row r="263" spans="1:15" s="10" customFormat="1" x14ac:dyDescent="0.25">
      <c r="A263" s="16">
        <v>104</v>
      </c>
      <c r="B263" s="16">
        <v>22</v>
      </c>
      <c r="C263" s="16" t="s">
        <v>7</v>
      </c>
      <c r="D263" s="16" t="s">
        <v>85</v>
      </c>
      <c r="E263" s="17">
        <v>5</v>
      </c>
      <c r="F263" s="18">
        <f>81700+1000</f>
        <v>82700</v>
      </c>
      <c r="N263" s="21"/>
      <c r="O263" s="22"/>
    </row>
    <row r="264" spans="1:15" s="10" customFormat="1" x14ac:dyDescent="0.25">
      <c r="A264" s="16">
        <v>108</v>
      </c>
      <c r="B264" s="16">
        <v>4</v>
      </c>
      <c r="C264" s="16">
        <v>20</v>
      </c>
      <c r="D264" s="16" t="s">
        <v>2</v>
      </c>
      <c r="E264" s="17">
        <f>1.02-0.005</f>
        <v>1.0150000000000001</v>
      </c>
      <c r="F264" s="18">
        <f>65700+3000+1000</f>
        <v>69700</v>
      </c>
      <c r="N264" s="21"/>
      <c r="O264" s="22"/>
    </row>
    <row r="265" spans="1:15" s="10" customFormat="1" x14ac:dyDescent="0.25">
      <c r="A265" s="16">
        <v>108</v>
      </c>
      <c r="B265" s="16">
        <v>6</v>
      </c>
      <c r="C265" s="16" t="s">
        <v>8</v>
      </c>
      <c r="D265" s="16" t="s">
        <v>9</v>
      </c>
      <c r="E265" s="17">
        <f>5.69-2.331-1.316-0.133-0.006</f>
        <v>1.9040000000000001</v>
      </c>
      <c r="F265" s="18">
        <v>199700</v>
      </c>
      <c r="N265" s="21"/>
      <c r="O265" s="22"/>
    </row>
    <row r="266" spans="1:15" s="10" customFormat="1" x14ac:dyDescent="0.25">
      <c r="A266" s="16">
        <v>108</v>
      </c>
      <c r="B266" s="16">
        <v>6</v>
      </c>
      <c r="C266" s="16" t="s">
        <v>0</v>
      </c>
      <c r="D266" s="16" t="s">
        <v>2</v>
      </c>
      <c r="E266" s="17">
        <f>0.215+0.011-0.109-0.012</f>
        <v>0.10500000000000001</v>
      </c>
      <c r="F266" s="18">
        <f>68700+3000+1000</f>
        <v>72700</v>
      </c>
      <c r="N266" s="21"/>
      <c r="O266" s="22"/>
    </row>
    <row r="267" spans="1:15" s="10" customFormat="1" x14ac:dyDescent="0.25">
      <c r="A267" s="16">
        <v>108</v>
      </c>
      <c r="B267" s="16">
        <v>6</v>
      </c>
      <c r="C267" s="16" t="s">
        <v>0</v>
      </c>
      <c r="D267" s="16" t="s">
        <v>2</v>
      </c>
      <c r="E267" s="17">
        <f>0.666-0.017-0.072-0.018-0.033-0.031-0.237-0.033-0.047</f>
        <v>0.17799999999999999</v>
      </c>
      <c r="F267" s="18">
        <f>68700+3000+1000</f>
        <v>72700</v>
      </c>
      <c r="N267" s="21"/>
      <c r="O267" s="22"/>
    </row>
    <row r="268" spans="1:15" s="10" customFormat="1" x14ac:dyDescent="0.25">
      <c r="A268" s="16">
        <v>108</v>
      </c>
      <c r="B268" s="16">
        <v>6</v>
      </c>
      <c r="C268" s="16" t="s">
        <v>0</v>
      </c>
      <c r="D268" s="16" t="s">
        <v>2</v>
      </c>
      <c r="E268" s="17">
        <f>4.62-2.3-0.139</f>
        <v>2.181</v>
      </c>
      <c r="F268" s="18">
        <f>68700+3000+1000</f>
        <v>72700</v>
      </c>
      <c r="N268" s="21"/>
      <c r="O268" s="22"/>
    </row>
    <row r="269" spans="1:15" s="10" customFormat="1" x14ac:dyDescent="0.25">
      <c r="A269" s="16">
        <v>108</v>
      </c>
      <c r="B269" s="16">
        <v>8</v>
      </c>
      <c r="C269" s="16">
        <v>20</v>
      </c>
      <c r="D269" s="16" t="s">
        <v>2</v>
      </c>
      <c r="E269" s="17">
        <v>6.7000000000000004E-2</v>
      </c>
      <c r="F269" s="18">
        <v>69700</v>
      </c>
      <c r="N269" s="21"/>
      <c r="O269" s="22"/>
    </row>
    <row r="270" spans="1:15" s="10" customFormat="1" x14ac:dyDescent="0.25">
      <c r="A270" s="16">
        <v>108</v>
      </c>
      <c r="B270" s="16">
        <v>9</v>
      </c>
      <c r="C270" s="16">
        <v>20</v>
      </c>
      <c r="D270" s="16" t="s">
        <v>2</v>
      </c>
      <c r="E270" s="17">
        <v>0.124</v>
      </c>
      <c r="F270" s="18">
        <v>69700</v>
      </c>
      <c r="N270" s="21"/>
      <c r="O270" s="22"/>
    </row>
    <row r="271" spans="1:15" s="10" customFormat="1" x14ac:dyDescent="0.25">
      <c r="A271" s="16">
        <v>108</v>
      </c>
      <c r="B271" s="16">
        <v>10</v>
      </c>
      <c r="C271" s="16" t="s">
        <v>0</v>
      </c>
      <c r="D271" s="16" t="s">
        <v>2</v>
      </c>
      <c r="E271" s="17">
        <f>4.646-0.025-0.05-0.006-0.157-0.644-0.162-0.012-1.274-0.22-0.205-0.633-0.074-0.209-0.011</f>
        <v>0.96399999999999908</v>
      </c>
      <c r="F271" s="18">
        <f>68700+3000+1000</f>
        <v>72700</v>
      </c>
      <c r="N271" s="21"/>
      <c r="O271" s="22"/>
    </row>
    <row r="272" spans="1:15" s="10" customFormat="1" x14ac:dyDescent="0.25">
      <c r="A272" s="16">
        <v>108</v>
      </c>
      <c r="B272" s="16">
        <v>10</v>
      </c>
      <c r="C272" s="16" t="s">
        <v>0</v>
      </c>
      <c r="D272" s="16" t="s">
        <v>85</v>
      </c>
      <c r="E272" s="17">
        <v>5.18</v>
      </c>
      <c r="F272" s="18">
        <f>68700+3000+1000</f>
        <v>72700</v>
      </c>
      <c r="N272" s="21"/>
      <c r="O272" s="22"/>
    </row>
    <row r="273" spans="1:15" s="10" customFormat="1" x14ac:dyDescent="0.25">
      <c r="A273" s="16">
        <v>108</v>
      </c>
      <c r="B273" s="16">
        <v>10</v>
      </c>
      <c r="C273" s="16" t="s">
        <v>5</v>
      </c>
      <c r="D273" s="16" t="s">
        <v>2</v>
      </c>
      <c r="E273" s="17">
        <v>5</v>
      </c>
      <c r="F273" s="18">
        <f>81700+1000</f>
        <v>82700</v>
      </c>
      <c r="N273" s="21"/>
      <c r="O273" s="22"/>
    </row>
    <row r="274" spans="1:15" s="10" customFormat="1" x14ac:dyDescent="0.25">
      <c r="A274" s="16">
        <v>108</v>
      </c>
      <c r="B274" s="16">
        <v>10</v>
      </c>
      <c r="C274" s="16" t="s">
        <v>8</v>
      </c>
      <c r="D274" s="16" t="s">
        <v>9</v>
      </c>
      <c r="E274" s="17">
        <f>5.53-0.595-1.354-0.25-2.17</f>
        <v>1.1610000000000005</v>
      </c>
      <c r="F274" s="18">
        <v>199700</v>
      </c>
      <c r="N274" s="21"/>
      <c r="O274" s="22"/>
    </row>
    <row r="275" spans="1:15" s="10" customFormat="1" x14ac:dyDescent="0.25">
      <c r="A275" s="16">
        <v>108</v>
      </c>
      <c r="B275" s="16">
        <v>12</v>
      </c>
      <c r="C275" s="16" t="s">
        <v>0</v>
      </c>
      <c r="D275" s="16" t="s">
        <v>2</v>
      </c>
      <c r="E275" s="17">
        <f>4.999-0.195-0.006-0.03-0.03-0.191-0.016+0.026-0.576-0.196-0.009-0.195</f>
        <v>3.5809999999999986</v>
      </c>
      <c r="F275" s="18">
        <f>68700+3000+1000</f>
        <v>72700</v>
      </c>
      <c r="N275" s="21"/>
      <c r="O275" s="22"/>
    </row>
    <row r="276" spans="1:15" s="10" customFormat="1" x14ac:dyDescent="0.25">
      <c r="A276" s="16">
        <v>108</v>
      </c>
      <c r="B276" s="16">
        <v>12</v>
      </c>
      <c r="C276" s="16">
        <v>45</v>
      </c>
      <c r="D276" s="16" t="s">
        <v>85</v>
      </c>
      <c r="E276" s="17">
        <f>5.082-2.061-0.116-0.041-0.01</f>
        <v>2.8540000000000001</v>
      </c>
      <c r="F276" s="18">
        <f>69700+1000</f>
        <v>70700</v>
      </c>
      <c r="N276" s="21"/>
      <c r="O276" s="22"/>
    </row>
    <row r="277" spans="1:15" s="10" customFormat="1" x14ac:dyDescent="0.25">
      <c r="A277" s="16">
        <v>108</v>
      </c>
      <c r="B277" s="16">
        <v>12</v>
      </c>
      <c r="C277" s="16" t="s">
        <v>5</v>
      </c>
      <c r="D277" s="16" t="s">
        <v>2</v>
      </c>
      <c r="E277" s="17">
        <f>5.177-1.151-0.025-0.588-0.194</f>
        <v>3.2189999999999994</v>
      </c>
      <c r="F277" s="18">
        <f>78700+3000+1000</f>
        <v>82700</v>
      </c>
      <c r="N277" s="21"/>
      <c r="O277" s="22"/>
    </row>
    <row r="278" spans="1:15" s="10" customFormat="1" x14ac:dyDescent="0.25">
      <c r="A278" s="16">
        <v>108</v>
      </c>
      <c r="B278" s="16">
        <v>14</v>
      </c>
      <c r="C278" s="16">
        <v>10</v>
      </c>
      <c r="D278" s="16" t="s">
        <v>2</v>
      </c>
      <c r="E278" s="17">
        <v>3.22</v>
      </c>
      <c r="F278" s="18">
        <v>69700</v>
      </c>
      <c r="N278" s="21"/>
      <c r="O278" s="22"/>
    </row>
    <row r="279" spans="1:15" s="10" customFormat="1" x14ac:dyDescent="0.25">
      <c r="A279" s="16">
        <v>108</v>
      </c>
      <c r="B279" s="16">
        <v>14</v>
      </c>
      <c r="C279" s="16">
        <v>20</v>
      </c>
      <c r="D279" s="16" t="s">
        <v>85</v>
      </c>
      <c r="E279" s="17">
        <v>5</v>
      </c>
      <c r="F279" s="18">
        <f>68700+1000</f>
        <v>69700</v>
      </c>
      <c r="N279" s="21"/>
      <c r="O279" s="22"/>
    </row>
    <row r="280" spans="1:15" s="10" customFormat="1" x14ac:dyDescent="0.25">
      <c r="A280" s="16">
        <v>108</v>
      </c>
      <c r="B280" s="16">
        <v>14</v>
      </c>
      <c r="C280" s="16">
        <v>35</v>
      </c>
      <c r="D280" s="16" t="s">
        <v>85</v>
      </c>
      <c r="E280" s="17">
        <v>5</v>
      </c>
      <c r="F280" s="18">
        <f>69700+1000</f>
        <v>70700</v>
      </c>
      <c r="N280" s="21"/>
      <c r="O280" s="22"/>
    </row>
    <row r="281" spans="1:15" s="10" customFormat="1" x14ac:dyDescent="0.25">
      <c r="A281" s="16">
        <v>108</v>
      </c>
      <c r="B281" s="16">
        <v>16</v>
      </c>
      <c r="C281" s="16">
        <v>45</v>
      </c>
      <c r="D281" s="16" t="s">
        <v>2</v>
      </c>
      <c r="E281" s="17">
        <f>5.1-0.014-0.232-0.682-1.169-1.853-0.695-0.074-0.156</f>
        <v>0.22499999999999884</v>
      </c>
      <c r="F281" s="18">
        <f>66700+3000+1000</f>
        <v>70700</v>
      </c>
      <c r="N281" s="21"/>
      <c r="O281" s="22"/>
    </row>
    <row r="282" spans="1:15" s="10" customFormat="1" x14ac:dyDescent="0.25">
      <c r="A282" s="16">
        <v>108</v>
      </c>
      <c r="B282" s="16">
        <v>16</v>
      </c>
      <c r="C282" s="16">
        <v>45</v>
      </c>
      <c r="D282" s="16" t="s">
        <v>2</v>
      </c>
      <c r="E282" s="17">
        <v>3.867</v>
      </c>
      <c r="F282" s="18">
        <f>69700+1000</f>
        <v>70700</v>
      </c>
      <c r="N282" s="21"/>
      <c r="O282" s="22"/>
    </row>
    <row r="283" spans="1:15" s="10" customFormat="1" x14ac:dyDescent="0.25">
      <c r="A283" s="16">
        <v>108</v>
      </c>
      <c r="B283" s="16">
        <v>16</v>
      </c>
      <c r="C283" s="16">
        <v>45</v>
      </c>
      <c r="D283" s="16" t="s">
        <v>2</v>
      </c>
      <c r="E283" s="17">
        <f>1.396-0.469</f>
        <v>0.92699999999999994</v>
      </c>
      <c r="F283" s="18">
        <f>69700+1000</f>
        <v>70700</v>
      </c>
      <c r="N283" s="21"/>
      <c r="O283" s="22"/>
    </row>
    <row r="284" spans="1:15" s="10" customFormat="1" x14ac:dyDescent="0.25">
      <c r="A284" s="16">
        <v>108</v>
      </c>
      <c r="B284" s="16">
        <v>16</v>
      </c>
      <c r="C284" s="16">
        <v>45</v>
      </c>
      <c r="D284" s="16" t="s">
        <v>85</v>
      </c>
      <c r="E284" s="17">
        <v>4.665</v>
      </c>
      <c r="F284" s="18">
        <f>69700+1000</f>
        <v>70700</v>
      </c>
      <c r="N284" s="21"/>
      <c r="O284" s="22"/>
    </row>
    <row r="285" spans="1:15" s="10" customFormat="1" x14ac:dyDescent="0.25">
      <c r="A285" s="16">
        <v>108</v>
      </c>
      <c r="B285" s="16">
        <v>16</v>
      </c>
      <c r="C285" s="16" t="s">
        <v>0</v>
      </c>
      <c r="D285" s="16" t="s">
        <v>2</v>
      </c>
      <c r="E285" s="17">
        <f>2.99-0.021-0.056-0.462-0.235-0.146-0.688-0.023-0.231-0.074-0.038-0.688-0.099</f>
        <v>0.22900000000000029</v>
      </c>
      <c r="F285" s="18">
        <f>68700+3000+1000</f>
        <v>72700</v>
      </c>
      <c r="N285" s="21"/>
      <c r="O285" s="22"/>
    </row>
    <row r="286" spans="1:15" s="10" customFormat="1" x14ac:dyDescent="0.25">
      <c r="A286" s="16">
        <v>108</v>
      </c>
      <c r="B286" s="16">
        <v>16</v>
      </c>
      <c r="C286" s="16" t="s">
        <v>0</v>
      </c>
      <c r="D286" s="16" t="s">
        <v>2</v>
      </c>
      <c r="E286" s="17">
        <f>2.774-0.462-0.231-0.131-0.7-0.234</f>
        <v>1.016</v>
      </c>
      <c r="F286" s="18">
        <f>68700+3000+1000</f>
        <v>72700</v>
      </c>
      <c r="N286" s="21"/>
      <c r="O286" s="22"/>
    </row>
    <row r="287" spans="1:15" s="10" customFormat="1" x14ac:dyDescent="0.25">
      <c r="A287" s="16">
        <v>108</v>
      </c>
      <c r="B287" s="16">
        <v>16</v>
      </c>
      <c r="C287" s="16" t="s">
        <v>7</v>
      </c>
      <c r="D287" s="16" t="s">
        <v>85</v>
      </c>
      <c r="E287" s="17">
        <v>5</v>
      </c>
      <c r="F287" s="18">
        <f>81700+1000</f>
        <v>82700</v>
      </c>
      <c r="N287" s="21"/>
      <c r="O287" s="22"/>
    </row>
    <row r="288" spans="1:15" s="10" customFormat="1" x14ac:dyDescent="0.25">
      <c r="A288" s="16">
        <v>108</v>
      </c>
      <c r="B288" s="16">
        <v>18</v>
      </c>
      <c r="C288" s="16">
        <v>20</v>
      </c>
      <c r="D288" s="16" t="s">
        <v>2</v>
      </c>
      <c r="E288" s="17">
        <f>10.273-0.587-0.884-0.589-0.88-0.122</f>
        <v>7.2109999999999994</v>
      </c>
      <c r="F288" s="18">
        <f>65700+3000+1000</f>
        <v>69700</v>
      </c>
      <c r="N288" s="21"/>
      <c r="O288" s="22"/>
    </row>
    <row r="289" spans="1:15" s="10" customFormat="1" x14ac:dyDescent="0.25">
      <c r="A289" s="16">
        <v>108</v>
      </c>
      <c r="B289" s="16">
        <v>18</v>
      </c>
      <c r="C289" s="16">
        <v>20</v>
      </c>
      <c r="D289" s="16" t="s">
        <v>2</v>
      </c>
      <c r="E289" s="17">
        <f>9.331-1.139-0.042-0.282-0.279-0.282-1.81-0.24-0.49-0.243-0.733</f>
        <v>3.790999999999999</v>
      </c>
      <c r="F289" s="18">
        <f>65700+3000+1000</f>
        <v>69700</v>
      </c>
      <c r="N289" s="21"/>
      <c r="O289" s="22"/>
    </row>
    <row r="290" spans="1:15" s="10" customFormat="1" x14ac:dyDescent="0.25">
      <c r="A290" s="16">
        <v>108</v>
      </c>
      <c r="B290" s="16">
        <v>18</v>
      </c>
      <c r="C290" s="16">
        <v>35</v>
      </c>
      <c r="D290" s="16" t="s">
        <v>2</v>
      </c>
      <c r="E290" s="17">
        <f>4.949-3.641-0.655-0.329</f>
        <v>0.32399999999999979</v>
      </c>
      <c r="F290" s="18">
        <f>66700+3000+1000</f>
        <v>70700</v>
      </c>
      <c r="N290" s="21"/>
      <c r="O290" s="22"/>
    </row>
    <row r="291" spans="1:15" s="10" customFormat="1" x14ac:dyDescent="0.25">
      <c r="A291" s="16">
        <v>108</v>
      </c>
      <c r="B291" s="16">
        <v>18</v>
      </c>
      <c r="C291" s="16">
        <v>35</v>
      </c>
      <c r="D291" s="16" t="s">
        <v>85</v>
      </c>
      <c r="E291" s="17">
        <v>5.01</v>
      </c>
      <c r="F291" s="18">
        <f>69700+1000</f>
        <v>70700</v>
      </c>
      <c r="N291" s="21"/>
      <c r="O291" s="22"/>
    </row>
    <row r="292" spans="1:15" s="10" customFormat="1" x14ac:dyDescent="0.25">
      <c r="A292" s="16">
        <v>108</v>
      </c>
      <c r="B292" s="16">
        <v>18</v>
      </c>
      <c r="C292" s="16">
        <v>45</v>
      </c>
      <c r="D292" s="16" t="s">
        <v>85</v>
      </c>
      <c r="E292" s="17">
        <v>4.9249999999999998</v>
      </c>
      <c r="F292" s="18">
        <f>69700+1000</f>
        <v>70700</v>
      </c>
      <c r="N292" s="21"/>
      <c r="O292" s="22"/>
    </row>
    <row r="293" spans="1:15" s="10" customFormat="1" x14ac:dyDescent="0.25">
      <c r="A293" s="16">
        <v>108</v>
      </c>
      <c r="B293" s="16">
        <v>18</v>
      </c>
      <c r="C293" s="16" t="s">
        <v>7</v>
      </c>
      <c r="D293" s="16" t="s">
        <v>85</v>
      </c>
      <c r="E293" s="17">
        <v>5</v>
      </c>
      <c r="F293" s="18">
        <f>81700+1000</f>
        <v>82700</v>
      </c>
      <c r="N293" s="21"/>
      <c r="O293" s="22"/>
    </row>
    <row r="294" spans="1:15" s="10" customFormat="1" x14ac:dyDescent="0.25">
      <c r="A294" s="16">
        <v>108</v>
      </c>
      <c r="B294" s="16">
        <v>20</v>
      </c>
      <c r="C294" s="16">
        <v>20</v>
      </c>
      <c r="D294" s="16" t="s">
        <v>85</v>
      </c>
      <c r="E294" s="17">
        <v>5.0270000000000001</v>
      </c>
      <c r="F294" s="18">
        <f>68700+1000</f>
        <v>69700</v>
      </c>
      <c r="N294" s="21"/>
      <c r="O294" s="22"/>
    </row>
    <row r="295" spans="1:15" s="10" customFormat="1" x14ac:dyDescent="0.25">
      <c r="A295" s="16">
        <v>108</v>
      </c>
      <c r="B295" s="16">
        <v>22</v>
      </c>
      <c r="C295" s="16">
        <v>45</v>
      </c>
      <c r="D295" s="16" t="s">
        <v>85</v>
      </c>
      <c r="E295" s="17">
        <v>5.38</v>
      </c>
      <c r="F295" s="18">
        <f>69700+1000</f>
        <v>70700</v>
      </c>
      <c r="N295" s="21"/>
      <c r="O295" s="22"/>
    </row>
    <row r="296" spans="1:15" s="10" customFormat="1" x14ac:dyDescent="0.25">
      <c r="A296" s="16">
        <v>108</v>
      </c>
      <c r="B296" s="16">
        <v>22</v>
      </c>
      <c r="C296" s="16" t="s">
        <v>5</v>
      </c>
      <c r="D296" s="16" t="s">
        <v>85</v>
      </c>
      <c r="E296" s="17">
        <v>5.22</v>
      </c>
      <c r="F296" s="18">
        <f>81700+1000</f>
        <v>82700</v>
      </c>
      <c r="N296" s="21"/>
      <c r="O296" s="22"/>
    </row>
    <row r="297" spans="1:15" s="10" customFormat="1" x14ac:dyDescent="0.25">
      <c r="A297" s="16">
        <v>108</v>
      </c>
      <c r="B297" s="16">
        <v>25</v>
      </c>
      <c r="C297" s="16">
        <v>20</v>
      </c>
      <c r="D297" s="16" t="s">
        <v>2</v>
      </c>
      <c r="E297" s="17">
        <f>5.03-0.131-0.553</f>
        <v>4.3460000000000001</v>
      </c>
      <c r="F297" s="18">
        <f>68700+1000</f>
        <v>69700</v>
      </c>
      <c r="N297" s="21"/>
      <c r="O297" s="22"/>
    </row>
    <row r="298" spans="1:15" s="10" customFormat="1" x14ac:dyDescent="0.25">
      <c r="A298" s="16">
        <v>108</v>
      </c>
      <c r="B298" s="16">
        <v>25</v>
      </c>
      <c r="C298" s="16">
        <v>20</v>
      </c>
      <c r="D298" s="16" t="s">
        <v>85</v>
      </c>
      <c r="E298" s="17">
        <v>5</v>
      </c>
      <c r="F298" s="18">
        <f>68700+1000</f>
        <v>69700</v>
      </c>
      <c r="N298" s="21"/>
      <c r="O298" s="22"/>
    </row>
    <row r="299" spans="1:15" s="10" customFormat="1" x14ac:dyDescent="0.25">
      <c r="A299" s="16">
        <v>108</v>
      </c>
      <c r="B299" s="16">
        <v>25</v>
      </c>
      <c r="C299" s="16">
        <v>35</v>
      </c>
      <c r="D299" s="16" t="s">
        <v>85</v>
      </c>
      <c r="E299" s="17">
        <v>4.4850000000000003</v>
      </c>
      <c r="F299" s="18">
        <f>69700+1000</f>
        <v>70700</v>
      </c>
      <c r="N299" s="21"/>
      <c r="O299" s="22"/>
    </row>
    <row r="300" spans="1:15" s="10" customFormat="1" x14ac:dyDescent="0.25">
      <c r="A300" s="16">
        <v>108</v>
      </c>
      <c r="B300" s="16">
        <v>25</v>
      </c>
      <c r="C300" s="16">
        <v>45</v>
      </c>
      <c r="D300" s="16" t="s">
        <v>85</v>
      </c>
      <c r="E300" s="17">
        <v>5.1849999999999996</v>
      </c>
      <c r="F300" s="18">
        <f>69700+1000</f>
        <v>70700</v>
      </c>
      <c r="N300" s="21"/>
      <c r="O300" s="22"/>
    </row>
    <row r="301" spans="1:15" s="10" customFormat="1" x14ac:dyDescent="0.25">
      <c r="A301" s="16">
        <v>108</v>
      </c>
      <c r="B301" s="16">
        <v>25</v>
      </c>
      <c r="C301" s="16">
        <v>45</v>
      </c>
      <c r="D301" s="16" t="s">
        <v>85</v>
      </c>
      <c r="E301" s="17">
        <v>5</v>
      </c>
      <c r="F301" s="18">
        <f>69700+1000</f>
        <v>70700</v>
      </c>
      <c r="N301" s="21"/>
      <c r="O301" s="22"/>
    </row>
    <row r="302" spans="1:15" s="10" customFormat="1" x14ac:dyDescent="0.25">
      <c r="A302" s="16">
        <v>108</v>
      </c>
      <c r="B302" s="16">
        <v>25</v>
      </c>
      <c r="C302" s="16" t="s">
        <v>7</v>
      </c>
      <c r="D302" s="16" t="s">
        <v>85</v>
      </c>
      <c r="E302" s="17">
        <v>5</v>
      </c>
      <c r="F302" s="18">
        <f>81700+1000</f>
        <v>82700</v>
      </c>
      <c r="N302" s="21"/>
      <c r="O302" s="22"/>
    </row>
    <row r="303" spans="1:15" s="10" customFormat="1" x14ac:dyDescent="0.25">
      <c r="A303" s="16">
        <v>108</v>
      </c>
      <c r="B303" s="16">
        <v>28</v>
      </c>
      <c r="C303" s="16">
        <v>20</v>
      </c>
      <c r="D303" s="16" t="s">
        <v>2</v>
      </c>
      <c r="E303" s="17">
        <v>5.2060000000000004</v>
      </c>
      <c r="F303" s="18">
        <f>65700+3000+1000</f>
        <v>69700</v>
      </c>
      <c r="N303" s="21"/>
      <c r="O303" s="22"/>
    </row>
    <row r="304" spans="1:15" s="10" customFormat="1" x14ac:dyDescent="0.25">
      <c r="A304" s="16">
        <v>108</v>
      </c>
      <c r="B304" s="16">
        <v>28</v>
      </c>
      <c r="C304" s="16" t="s">
        <v>0</v>
      </c>
      <c r="D304" s="16" t="s">
        <v>85</v>
      </c>
      <c r="E304" s="17">
        <v>5.1100000000000003</v>
      </c>
      <c r="F304" s="18">
        <f>68700+3000+1000</f>
        <v>72700</v>
      </c>
      <c r="N304" s="21"/>
      <c r="O304" s="22"/>
    </row>
    <row r="305" spans="1:15" s="10" customFormat="1" x14ac:dyDescent="0.25">
      <c r="A305" s="16">
        <v>108</v>
      </c>
      <c r="B305" s="16">
        <v>28</v>
      </c>
      <c r="C305" s="16">
        <v>35</v>
      </c>
      <c r="D305" s="16" t="s">
        <v>85</v>
      </c>
      <c r="E305" s="17">
        <f>4.77-0.325</f>
        <v>4.4449999999999994</v>
      </c>
      <c r="F305" s="18">
        <f>69700+1000</f>
        <v>70700</v>
      </c>
      <c r="N305" s="21"/>
      <c r="O305" s="22"/>
    </row>
    <row r="306" spans="1:15" s="10" customFormat="1" x14ac:dyDescent="0.25">
      <c r="A306" s="16">
        <v>108</v>
      </c>
      <c r="B306" s="16">
        <v>28</v>
      </c>
      <c r="C306" s="16">
        <v>45</v>
      </c>
      <c r="D306" s="16" t="s">
        <v>85</v>
      </c>
      <c r="E306" s="17">
        <v>5.42</v>
      </c>
      <c r="F306" s="18">
        <f>69700+1000</f>
        <v>70700</v>
      </c>
      <c r="N306" s="21"/>
      <c r="O306" s="22"/>
    </row>
    <row r="307" spans="1:15" s="10" customFormat="1" x14ac:dyDescent="0.25">
      <c r="A307" s="16">
        <v>108</v>
      </c>
      <c r="B307" s="16">
        <v>28</v>
      </c>
      <c r="C307" s="16" t="s">
        <v>5</v>
      </c>
      <c r="D307" s="16" t="s">
        <v>85</v>
      </c>
      <c r="E307" s="17">
        <v>4.4000000000000004</v>
      </c>
      <c r="F307" s="18">
        <f>81700+1000</f>
        <v>82700</v>
      </c>
      <c r="N307" s="21"/>
      <c r="O307" s="22"/>
    </row>
    <row r="308" spans="1:15" s="10" customFormat="1" x14ac:dyDescent="0.25">
      <c r="A308" s="16">
        <v>108</v>
      </c>
      <c r="B308" s="16">
        <v>28</v>
      </c>
      <c r="C308" s="16" t="s">
        <v>5</v>
      </c>
      <c r="D308" s="16" t="s">
        <v>85</v>
      </c>
      <c r="E308" s="17">
        <v>0.6</v>
      </c>
      <c r="F308" s="18">
        <f>81700+1000</f>
        <v>82700</v>
      </c>
      <c r="N308" s="21"/>
      <c r="O308" s="22"/>
    </row>
    <row r="309" spans="1:15" s="10" customFormat="1" x14ac:dyDescent="0.25">
      <c r="A309" s="16">
        <v>108</v>
      </c>
      <c r="B309" s="16">
        <v>28</v>
      </c>
      <c r="C309" s="16" t="s">
        <v>7</v>
      </c>
      <c r="D309" s="16" t="s">
        <v>85</v>
      </c>
      <c r="E309" s="17">
        <f>4.825-0.11-0.124-0.337</f>
        <v>4.2540000000000004</v>
      </c>
      <c r="F309" s="18">
        <f>81700+1000</f>
        <v>82700</v>
      </c>
      <c r="N309" s="21"/>
      <c r="O309" s="22"/>
    </row>
    <row r="310" spans="1:15" s="10" customFormat="1" x14ac:dyDescent="0.25">
      <c r="A310" s="16">
        <v>108</v>
      </c>
      <c r="B310" s="16">
        <v>28</v>
      </c>
      <c r="C310" s="16" t="s">
        <v>7</v>
      </c>
      <c r="D310" s="16" t="s">
        <v>85</v>
      </c>
      <c r="E310" s="17">
        <f>5.134-0.724-0.1</f>
        <v>4.3100000000000005</v>
      </c>
      <c r="F310" s="18">
        <f>81700+1000</f>
        <v>82700</v>
      </c>
      <c r="N310" s="21"/>
      <c r="O310" s="22"/>
    </row>
    <row r="311" spans="1:15" s="10" customFormat="1" x14ac:dyDescent="0.25">
      <c r="A311" s="16">
        <v>110.2</v>
      </c>
      <c r="B311" s="16">
        <v>13.6</v>
      </c>
      <c r="C311" s="16" t="s">
        <v>98</v>
      </c>
      <c r="D311" s="16" t="s">
        <v>99</v>
      </c>
      <c r="E311" s="17">
        <v>14.734</v>
      </c>
      <c r="F311" s="18">
        <v>85700</v>
      </c>
      <c r="N311" s="21"/>
      <c r="O311" s="22"/>
    </row>
    <row r="312" spans="1:15" s="10" customFormat="1" x14ac:dyDescent="0.25">
      <c r="A312" s="16">
        <v>110.2</v>
      </c>
      <c r="B312" s="16">
        <v>13.6</v>
      </c>
      <c r="C312" s="16" t="s">
        <v>98</v>
      </c>
      <c r="D312" s="16" t="s">
        <v>99</v>
      </c>
      <c r="E312" s="17">
        <v>0.29399999999999998</v>
      </c>
      <c r="F312" s="18">
        <v>85700</v>
      </c>
      <c r="N312" s="21"/>
      <c r="O312" s="22"/>
    </row>
    <row r="313" spans="1:15" s="10" customFormat="1" x14ac:dyDescent="0.25">
      <c r="A313" s="16">
        <v>114</v>
      </c>
      <c r="B313" s="16">
        <v>4.5</v>
      </c>
      <c r="C313" s="16">
        <v>20</v>
      </c>
      <c r="D313" s="16" t="s">
        <v>2</v>
      </c>
      <c r="E313" s="17">
        <v>0.91500000000000004</v>
      </c>
      <c r="F313" s="18">
        <f t="shared" ref="F313:F319" si="1">57700+3000+1000+6000</f>
        <v>67700</v>
      </c>
      <c r="N313" s="21"/>
      <c r="O313" s="22"/>
    </row>
    <row r="314" spans="1:15" s="10" customFormat="1" x14ac:dyDescent="0.25">
      <c r="A314" s="16">
        <v>114</v>
      </c>
      <c r="B314" s="16">
        <v>5</v>
      </c>
      <c r="C314" s="16">
        <v>20</v>
      </c>
      <c r="D314" s="16" t="s">
        <v>2</v>
      </c>
      <c r="E314" s="17">
        <v>0.92800000000000005</v>
      </c>
      <c r="F314" s="18">
        <f t="shared" si="1"/>
        <v>67700</v>
      </c>
      <c r="N314" s="21"/>
      <c r="O314" s="22"/>
    </row>
    <row r="315" spans="1:15" s="10" customFormat="1" x14ac:dyDescent="0.25">
      <c r="A315" s="16">
        <v>114</v>
      </c>
      <c r="B315" s="16">
        <v>5</v>
      </c>
      <c r="C315" s="16">
        <v>20</v>
      </c>
      <c r="D315" s="16" t="s">
        <v>2</v>
      </c>
      <c r="E315" s="17">
        <f>2.73-0.036</f>
        <v>2.694</v>
      </c>
      <c r="F315" s="18">
        <f t="shared" si="1"/>
        <v>67700</v>
      </c>
      <c r="N315" s="21"/>
      <c r="O315" s="22"/>
    </row>
    <row r="316" spans="1:15" s="10" customFormat="1" x14ac:dyDescent="0.25">
      <c r="A316" s="16">
        <v>114</v>
      </c>
      <c r="B316" s="16">
        <v>5</v>
      </c>
      <c r="C316" s="16">
        <v>20</v>
      </c>
      <c r="D316" s="16" t="s">
        <v>2</v>
      </c>
      <c r="E316" s="17">
        <v>0.155</v>
      </c>
      <c r="F316" s="18">
        <f t="shared" si="1"/>
        <v>67700</v>
      </c>
      <c r="N316" s="21"/>
      <c r="O316" s="22"/>
    </row>
    <row r="317" spans="1:15" s="10" customFormat="1" x14ac:dyDescent="0.25">
      <c r="A317" s="16">
        <v>114</v>
      </c>
      <c r="B317" s="16">
        <v>5</v>
      </c>
      <c r="C317" s="16">
        <v>20</v>
      </c>
      <c r="D317" s="16" t="s">
        <v>2</v>
      </c>
      <c r="E317" s="17">
        <v>3.0649999999999999</v>
      </c>
      <c r="F317" s="18">
        <v>67700</v>
      </c>
      <c r="N317" s="21"/>
      <c r="O317" s="22"/>
    </row>
    <row r="318" spans="1:15" s="10" customFormat="1" x14ac:dyDescent="0.25">
      <c r="A318" s="16">
        <v>114</v>
      </c>
      <c r="B318" s="16">
        <v>6</v>
      </c>
      <c r="C318" s="16">
        <v>20</v>
      </c>
      <c r="D318" s="16" t="s">
        <v>2</v>
      </c>
      <c r="E318" s="17">
        <f>9.3-0.058-1.856-2.461</f>
        <v>4.9250000000000007</v>
      </c>
      <c r="F318" s="18">
        <f t="shared" si="1"/>
        <v>67700</v>
      </c>
      <c r="N318" s="21"/>
      <c r="O318" s="22"/>
    </row>
    <row r="319" spans="1:15" s="10" customFormat="1" x14ac:dyDescent="0.25">
      <c r="A319" s="16">
        <v>114</v>
      </c>
      <c r="B319" s="16">
        <v>6</v>
      </c>
      <c r="C319" s="16">
        <v>20</v>
      </c>
      <c r="D319" s="16" t="s">
        <v>2</v>
      </c>
      <c r="E319" s="17">
        <f>0.097-0.05+0.001-0.013</f>
        <v>3.5000000000000003E-2</v>
      </c>
      <c r="F319" s="18">
        <f t="shared" si="1"/>
        <v>67700</v>
      </c>
      <c r="N319" s="21"/>
      <c r="O319" s="22"/>
    </row>
    <row r="320" spans="1:15" s="10" customFormat="1" x14ac:dyDescent="0.25">
      <c r="A320" s="16">
        <v>114</v>
      </c>
      <c r="B320" s="16">
        <v>6</v>
      </c>
      <c r="C320" s="16">
        <v>20</v>
      </c>
      <c r="D320" s="16" t="s">
        <v>2</v>
      </c>
      <c r="E320" s="17">
        <v>5.7000000000000002E-2</v>
      </c>
      <c r="F320" s="18">
        <f>65700+3000+1000-2000</f>
        <v>67700</v>
      </c>
      <c r="N320" s="21"/>
      <c r="O320" s="22"/>
    </row>
    <row r="321" spans="1:15" s="10" customFormat="1" x14ac:dyDescent="0.25">
      <c r="A321" s="16">
        <v>114</v>
      </c>
      <c r="B321" s="16">
        <v>6</v>
      </c>
      <c r="C321" s="16">
        <v>20</v>
      </c>
      <c r="D321" s="16" t="s">
        <v>28</v>
      </c>
      <c r="E321" s="17">
        <f>11.595-0.019</f>
        <v>11.576000000000001</v>
      </c>
      <c r="F321" s="18">
        <f>57700+3000+1000+6000</f>
        <v>67700</v>
      </c>
      <c r="N321" s="21"/>
      <c r="O321" s="22"/>
    </row>
    <row r="322" spans="1:15" s="10" customFormat="1" x14ac:dyDescent="0.25">
      <c r="A322" s="16">
        <v>114</v>
      </c>
      <c r="B322" s="16">
        <v>6</v>
      </c>
      <c r="C322" s="16" t="s">
        <v>0</v>
      </c>
      <c r="D322" s="16" t="s">
        <v>13</v>
      </c>
      <c r="E322" s="17">
        <f>2.04+0.077-0.04-0.09</f>
        <v>1.9869999999999999</v>
      </c>
      <c r="F322" s="18">
        <f>67700+2000</f>
        <v>69700</v>
      </c>
      <c r="N322" s="21"/>
      <c r="O322" s="22"/>
    </row>
    <row r="323" spans="1:15" s="10" customFormat="1" x14ac:dyDescent="0.25">
      <c r="A323" s="16">
        <v>114</v>
      </c>
      <c r="B323" s="16">
        <v>6</v>
      </c>
      <c r="C323" s="16" t="s">
        <v>0</v>
      </c>
      <c r="D323" s="16" t="s">
        <v>13</v>
      </c>
      <c r="E323" s="17">
        <f>13.13-1.301</f>
        <v>11.829000000000001</v>
      </c>
      <c r="F323" s="18">
        <f>67700+2000</f>
        <v>69700</v>
      </c>
      <c r="N323" s="21"/>
      <c r="O323" s="22"/>
    </row>
    <row r="324" spans="1:15" s="10" customFormat="1" x14ac:dyDescent="0.25">
      <c r="A324" s="16">
        <v>114</v>
      </c>
      <c r="B324" s="16">
        <v>6</v>
      </c>
      <c r="C324" s="16" t="s">
        <v>30</v>
      </c>
      <c r="D324" s="16" t="s">
        <v>49</v>
      </c>
      <c r="E324" s="17">
        <f>7.115-0.14</f>
        <v>6.9750000000000005</v>
      </c>
      <c r="F324" s="18">
        <f>70700+4000</f>
        <v>74700</v>
      </c>
      <c r="N324" s="21"/>
      <c r="O324" s="22"/>
    </row>
    <row r="325" spans="1:15" s="10" customFormat="1" x14ac:dyDescent="0.25">
      <c r="A325" s="16">
        <v>114</v>
      </c>
      <c r="B325" s="16">
        <v>7</v>
      </c>
      <c r="C325" s="16">
        <v>20</v>
      </c>
      <c r="D325" s="16" t="s">
        <v>2</v>
      </c>
      <c r="E325" s="17">
        <f>7.39-0.393-0.19-0.009</f>
        <v>6.7979999999999992</v>
      </c>
      <c r="F325" s="18">
        <f>57700+3000+1000+6000</f>
        <v>67700</v>
      </c>
      <c r="N325" s="21"/>
      <c r="O325" s="22"/>
    </row>
    <row r="326" spans="1:15" s="10" customFormat="1" x14ac:dyDescent="0.25">
      <c r="A326" s="16">
        <v>114</v>
      </c>
      <c r="B326" s="16">
        <v>7</v>
      </c>
      <c r="C326" s="16">
        <v>20</v>
      </c>
      <c r="D326" s="16" t="s">
        <v>2</v>
      </c>
      <c r="E326" s="17">
        <f>8.04-0.422-0.215-0.398</f>
        <v>7.0049999999999999</v>
      </c>
      <c r="F326" s="18">
        <f>57700+3000+1000+6000</f>
        <v>67700</v>
      </c>
      <c r="N326" s="21"/>
      <c r="O326" s="22"/>
    </row>
    <row r="327" spans="1:15" s="10" customFormat="1" x14ac:dyDescent="0.25">
      <c r="A327" s="16">
        <v>114</v>
      </c>
      <c r="B327" s="16">
        <v>7</v>
      </c>
      <c r="C327" s="16">
        <v>20</v>
      </c>
      <c r="D327" s="16" t="s">
        <v>2</v>
      </c>
      <c r="E327" s="17">
        <v>3.5</v>
      </c>
      <c r="F327" s="18">
        <f>57700+3000+1000+6000</f>
        <v>67700</v>
      </c>
      <c r="N327" s="21"/>
      <c r="O327" s="22"/>
    </row>
    <row r="328" spans="1:15" s="10" customFormat="1" x14ac:dyDescent="0.25">
      <c r="A328" s="16">
        <v>114</v>
      </c>
      <c r="B328" s="16">
        <v>7</v>
      </c>
      <c r="C328" s="16" t="s">
        <v>30</v>
      </c>
      <c r="D328" s="16" t="s">
        <v>2</v>
      </c>
      <c r="E328" s="17">
        <f>1.045-0.03</f>
        <v>1.0149999999999999</v>
      </c>
      <c r="F328" s="18">
        <f>70700+4000</f>
        <v>74700</v>
      </c>
      <c r="N328" s="21"/>
      <c r="O328" s="22"/>
    </row>
    <row r="329" spans="1:15" s="10" customFormat="1" x14ac:dyDescent="0.25">
      <c r="A329" s="16">
        <v>114</v>
      </c>
      <c r="B329" s="16">
        <v>8</v>
      </c>
      <c r="C329" s="16" t="s">
        <v>8</v>
      </c>
      <c r="D329" s="16" t="s">
        <v>9</v>
      </c>
      <c r="E329" s="17">
        <f>5.43-3.66-0.78</f>
        <v>0.98999999999999955</v>
      </c>
      <c r="F329" s="18">
        <v>199700</v>
      </c>
      <c r="N329" s="21"/>
      <c r="O329" s="22"/>
    </row>
    <row r="330" spans="1:15" s="10" customFormat="1" x14ac:dyDescent="0.25">
      <c r="A330" s="16">
        <v>114</v>
      </c>
      <c r="B330" s="16">
        <v>9</v>
      </c>
      <c r="C330" s="16">
        <v>20</v>
      </c>
      <c r="D330" s="16" t="s">
        <v>2</v>
      </c>
      <c r="E330" s="17">
        <v>2.08</v>
      </c>
      <c r="F330" s="18">
        <f>65700+3000+1000</f>
        <v>69700</v>
      </c>
      <c r="N330" s="21"/>
      <c r="O330" s="22"/>
    </row>
    <row r="331" spans="1:15" s="10" customFormat="1" x14ac:dyDescent="0.25">
      <c r="A331" s="16">
        <v>114</v>
      </c>
      <c r="B331" s="16">
        <v>9</v>
      </c>
      <c r="C331" s="16">
        <v>35</v>
      </c>
      <c r="D331" s="16" t="s">
        <v>2</v>
      </c>
      <c r="E331" s="17">
        <v>6.7000000000000004E-2</v>
      </c>
      <c r="F331" s="18">
        <f>66700+3000+1000</f>
        <v>70700</v>
      </c>
      <c r="N331" s="21"/>
      <c r="O331" s="22"/>
    </row>
    <row r="332" spans="1:15" s="10" customFormat="1" x14ac:dyDescent="0.25">
      <c r="A332" s="16">
        <v>114</v>
      </c>
      <c r="B332" s="16">
        <v>9</v>
      </c>
      <c r="C332" s="16">
        <v>35</v>
      </c>
      <c r="D332" s="16" t="s">
        <v>2</v>
      </c>
      <c r="E332" s="17">
        <v>1.835</v>
      </c>
      <c r="F332" s="18">
        <f>66700+3000+1000</f>
        <v>70700</v>
      </c>
      <c r="N332" s="21"/>
      <c r="O332" s="22"/>
    </row>
    <row r="333" spans="1:15" s="10" customFormat="1" x14ac:dyDescent="0.25">
      <c r="A333" s="16">
        <v>114</v>
      </c>
      <c r="B333" s="16">
        <v>10</v>
      </c>
      <c r="C333" s="16" t="s">
        <v>30</v>
      </c>
      <c r="D333" s="16" t="s">
        <v>2</v>
      </c>
      <c r="E333" s="17">
        <f>1.08-0.243-0.296</f>
        <v>0.54100000000000015</v>
      </c>
      <c r="F333" s="18">
        <f>70700+4000</f>
        <v>74700</v>
      </c>
      <c r="N333" s="21"/>
      <c r="O333" s="22"/>
    </row>
    <row r="334" spans="1:15" s="10" customFormat="1" x14ac:dyDescent="0.25">
      <c r="A334" s="16">
        <v>114</v>
      </c>
      <c r="B334" s="16">
        <v>11</v>
      </c>
      <c r="C334" s="16">
        <v>45</v>
      </c>
      <c r="D334" s="16" t="s">
        <v>2</v>
      </c>
      <c r="E334" s="17">
        <f>5.948-0.724-1.612-0.085-0.45</f>
        <v>3.077</v>
      </c>
      <c r="F334" s="18">
        <f>66700+3000+1000</f>
        <v>70700</v>
      </c>
      <c r="N334" s="21"/>
      <c r="O334" s="22"/>
    </row>
    <row r="335" spans="1:15" s="10" customFormat="1" x14ac:dyDescent="0.25">
      <c r="A335" s="16">
        <v>114</v>
      </c>
      <c r="B335" s="16">
        <v>11</v>
      </c>
      <c r="C335" s="16">
        <v>45</v>
      </c>
      <c r="D335" s="16" t="s">
        <v>2</v>
      </c>
      <c r="E335" s="17">
        <f>0.906-0.215</f>
        <v>0.69100000000000006</v>
      </c>
      <c r="F335" s="18">
        <f>66700+3000+1000</f>
        <v>70700</v>
      </c>
      <c r="N335" s="21"/>
      <c r="O335" s="22"/>
    </row>
    <row r="336" spans="1:15" s="10" customFormat="1" x14ac:dyDescent="0.25">
      <c r="A336" s="16">
        <v>114</v>
      </c>
      <c r="B336" s="20">
        <v>12</v>
      </c>
      <c r="C336" s="16">
        <v>20</v>
      </c>
      <c r="D336" s="16" t="s">
        <v>2</v>
      </c>
      <c r="E336" s="17">
        <f>2.204-0.27-1.035</f>
        <v>0.89900000000000024</v>
      </c>
      <c r="F336" s="18">
        <f>65700+3000+1000</f>
        <v>69700</v>
      </c>
      <c r="N336" s="21"/>
      <c r="O336" s="22"/>
    </row>
    <row r="337" spans="1:15" s="10" customFormat="1" x14ac:dyDescent="0.25">
      <c r="A337" s="16">
        <v>114</v>
      </c>
      <c r="B337" s="20">
        <v>12</v>
      </c>
      <c r="C337" s="16">
        <v>20</v>
      </c>
      <c r="D337" s="16" t="s">
        <v>2</v>
      </c>
      <c r="E337" s="17">
        <f>2.303-0.056-0.106-0.075-0.075</f>
        <v>1.9909999999999999</v>
      </c>
      <c r="F337" s="18">
        <f>65700+3000+1000</f>
        <v>69700</v>
      </c>
      <c r="N337" s="21"/>
      <c r="O337" s="22"/>
    </row>
    <row r="338" spans="1:15" s="10" customFormat="1" x14ac:dyDescent="0.25">
      <c r="A338" s="16">
        <v>114</v>
      </c>
      <c r="B338" s="16">
        <v>12</v>
      </c>
      <c r="C338" s="16" t="s">
        <v>18</v>
      </c>
      <c r="D338" s="16" t="s">
        <v>19</v>
      </c>
      <c r="E338" s="17">
        <f>2.161-0.047-0.81-0.553-0.27</f>
        <v>0.48099999999999976</v>
      </c>
      <c r="F338" s="18">
        <f>71000+1000</f>
        <v>72000</v>
      </c>
      <c r="N338" s="21"/>
      <c r="O338" s="22"/>
    </row>
    <row r="339" spans="1:15" s="10" customFormat="1" x14ac:dyDescent="0.25">
      <c r="A339" s="16">
        <v>114</v>
      </c>
      <c r="B339" s="16">
        <v>12</v>
      </c>
      <c r="C339" s="16" t="s">
        <v>0</v>
      </c>
      <c r="D339" s="16" t="s">
        <v>2</v>
      </c>
      <c r="E339" s="17">
        <f>5.39-0.032-0.007-0.141</f>
        <v>5.21</v>
      </c>
      <c r="F339" s="18">
        <f>68700+3000+1000</f>
        <v>72700</v>
      </c>
      <c r="N339" s="21"/>
      <c r="O339" s="22"/>
    </row>
    <row r="340" spans="1:15" s="10" customFormat="1" x14ac:dyDescent="0.25">
      <c r="A340" s="16">
        <v>114</v>
      </c>
      <c r="B340" s="16">
        <v>14</v>
      </c>
      <c r="C340" s="16" t="s">
        <v>0</v>
      </c>
      <c r="D340" s="16" t="s">
        <v>85</v>
      </c>
      <c r="E340" s="17">
        <v>3.9049999999999998</v>
      </c>
      <c r="F340" s="18">
        <f>68700+3000+1000</f>
        <v>72700</v>
      </c>
      <c r="N340" s="21"/>
      <c r="O340" s="22"/>
    </row>
    <row r="341" spans="1:15" s="10" customFormat="1" x14ac:dyDescent="0.25">
      <c r="A341" s="16">
        <v>114</v>
      </c>
      <c r="B341" s="16">
        <v>14</v>
      </c>
      <c r="C341" s="16" t="s">
        <v>0</v>
      </c>
      <c r="D341" s="16" t="s">
        <v>85</v>
      </c>
      <c r="E341" s="17">
        <v>1</v>
      </c>
      <c r="F341" s="18">
        <f>68700+3000+1000</f>
        <v>72700</v>
      </c>
      <c r="N341" s="21"/>
      <c r="O341" s="22"/>
    </row>
    <row r="342" spans="1:15" s="10" customFormat="1" x14ac:dyDescent="0.25">
      <c r="A342" s="16">
        <v>114</v>
      </c>
      <c r="B342" s="16">
        <v>14</v>
      </c>
      <c r="C342" s="16" t="s">
        <v>7</v>
      </c>
      <c r="D342" s="16" t="s">
        <v>2</v>
      </c>
      <c r="E342" s="17">
        <f>5.437-0.281-0.534-2.61</f>
        <v>2.0120000000000009</v>
      </c>
      <c r="F342" s="18">
        <f>78700+3000+1000</f>
        <v>82700</v>
      </c>
      <c r="N342" s="21"/>
      <c r="O342" s="22"/>
    </row>
    <row r="343" spans="1:15" s="10" customFormat="1" x14ac:dyDescent="0.25">
      <c r="A343" s="16">
        <v>114</v>
      </c>
      <c r="B343" s="16">
        <v>16</v>
      </c>
      <c r="C343" s="16">
        <v>45</v>
      </c>
      <c r="D343" s="16" t="s">
        <v>2</v>
      </c>
      <c r="E343" s="17">
        <f>5.78-3.945-0.061-0.797-0.635-0.061</f>
        <v>0.28100000000000042</v>
      </c>
      <c r="F343" s="18">
        <f>66700+3000+1000</f>
        <v>70700</v>
      </c>
      <c r="N343" s="21"/>
      <c r="O343" s="22"/>
    </row>
    <row r="344" spans="1:15" s="10" customFormat="1" x14ac:dyDescent="0.25">
      <c r="A344" s="16">
        <v>114</v>
      </c>
      <c r="B344" s="16">
        <v>16</v>
      </c>
      <c r="C344" s="16">
        <v>45</v>
      </c>
      <c r="D344" s="16" t="s">
        <v>85</v>
      </c>
      <c r="E344" s="17">
        <v>5.0049999999999999</v>
      </c>
      <c r="F344" s="18">
        <f>69700+1000</f>
        <v>70700</v>
      </c>
      <c r="N344" s="21"/>
      <c r="O344" s="22"/>
    </row>
    <row r="345" spans="1:15" s="10" customFormat="1" x14ac:dyDescent="0.25">
      <c r="A345" s="16">
        <v>114</v>
      </c>
      <c r="B345" s="16">
        <v>16</v>
      </c>
      <c r="C345" s="16" t="s">
        <v>0</v>
      </c>
      <c r="D345" s="16" t="s">
        <v>2</v>
      </c>
      <c r="E345" s="17">
        <f>4.77-0.18-0.5-0.441-0.325-0.386-0.125-0.182-0.021-0.298-0.219-0.021-0.01-0.326</f>
        <v>1.7360000000000002</v>
      </c>
      <c r="F345" s="18">
        <f>68700+3000+1000</f>
        <v>72700</v>
      </c>
      <c r="N345" s="21"/>
      <c r="O345" s="22"/>
    </row>
    <row r="346" spans="1:15" s="10" customFormat="1" x14ac:dyDescent="0.25">
      <c r="A346" s="16">
        <v>114</v>
      </c>
      <c r="B346" s="16">
        <v>18</v>
      </c>
      <c r="C346" s="16" t="s">
        <v>5</v>
      </c>
      <c r="D346" s="16" t="s">
        <v>85</v>
      </c>
      <c r="E346" s="17">
        <v>5</v>
      </c>
      <c r="F346" s="18">
        <v>82700</v>
      </c>
      <c r="N346" s="21"/>
      <c r="O346" s="22"/>
    </row>
    <row r="347" spans="1:15" s="10" customFormat="1" x14ac:dyDescent="0.25">
      <c r="A347" s="16">
        <v>114</v>
      </c>
      <c r="B347" s="16">
        <v>16</v>
      </c>
      <c r="C347" s="16" t="s">
        <v>7</v>
      </c>
      <c r="D347" s="16" t="s">
        <v>85</v>
      </c>
      <c r="E347" s="17">
        <v>5</v>
      </c>
      <c r="F347" s="18">
        <f>81700+1000</f>
        <v>82700</v>
      </c>
      <c r="N347" s="21"/>
      <c r="O347" s="22"/>
    </row>
    <row r="348" spans="1:15" s="10" customFormat="1" x14ac:dyDescent="0.25">
      <c r="A348" s="16">
        <v>114</v>
      </c>
      <c r="B348" s="16">
        <v>18</v>
      </c>
      <c r="C348" s="16" t="s">
        <v>7</v>
      </c>
      <c r="D348" s="16" t="s">
        <v>85</v>
      </c>
      <c r="E348" s="17">
        <v>5</v>
      </c>
      <c r="F348" s="18">
        <f>81700+1000</f>
        <v>82700</v>
      </c>
      <c r="N348" s="21"/>
      <c r="O348" s="22"/>
    </row>
    <row r="349" spans="1:15" s="10" customFormat="1" x14ac:dyDescent="0.25">
      <c r="A349" s="16">
        <v>114</v>
      </c>
      <c r="B349" s="16">
        <v>20</v>
      </c>
      <c r="C349" s="16">
        <v>20</v>
      </c>
      <c r="D349" s="16" t="s">
        <v>2</v>
      </c>
      <c r="E349" s="17">
        <f>5.008-0.557-0.57-0.561-2.224-0.102-0.07-0.267-0.096</f>
        <v>0.56099999999999972</v>
      </c>
      <c r="F349" s="18">
        <f>65700+3000+1000</f>
        <v>69700</v>
      </c>
      <c r="N349" s="21"/>
      <c r="O349" s="22"/>
    </row>
    <row r="350" spans="1:15" s="10" customFormat="1" x14ac:dyDescent="0.25">
      <c r="A350" s="16">
        <v>114</v>
      </c>
      <c r="B350" s="16">
        <v>20</v>
      </c>
      <c r="C350" s="16">
        <v>35</v>
      </c>
      <c r="D350" s="16" t="s">
        <v>85</v>
      </c>
      <c r="E350" s="17">
        <v>5.19</v>
      </c>
      <c r="F350" s="18">
        <f>69700+1000</f>
        <v>70700</v>
      </c>
      <c r="N350" s="21"/>
      <c r="O350" s="22"/>
    </row>
    <row r="351" spans="1:15" s="10" customFormat="1" x14ac:dyDescent="0.25">
      <c r="A351" s="16">
        <v>114</v>
      </c>
      <c r="B351" s="16">
        <v>20</v>
      </c>
      <c r="C351" s="16">
        <v>45</v>
      </c>
      <c r="D351" s="16" t="s">
        <v>85</v>
      </c>
      <c r="E351" s="17">
        <v>5.29</v>
      </c>
      <c r="F351" s="18">
        <f>69700+1000</f>
        <v>70700</v>
      </c>
      <c r="N351" s="21"/>
      <c r="O351" s="22"/>
    </row>
    <row r="352" spans="1:15" s="10" customFormat="1" x14ac:dyDescent="0.25">
      <c r="A352" s="16">
        <v>114</v>
      </c>
      <c r="B352" s="16">
        <v>20</v>
      </c>
      <c r="C352" s="16" t="s">
        <v>0</v>
      </c>
      <c r="D352" s="16" t="s">
        <v>85</v>
      </c>
      <c r="E352" s="17">
        <v>5</v>
      </c>
      <c r="F352" s="18">
        <f>68700+3000+1000</f>
        <v>72700</v>
      </c>
      <c r="N352" s="21"/>
      <c r="O352" s="22"/>
    </row>
    <row r="353" spans="1:15" s="10" customFormat="1" x14ac:dyDescent="0.25">
      <c r="A353" s="16">
        <v>114</v>
      </c>
      <c r="B353" s="16">
        <v>20</v>
      </c>
      <c r="C353" s="16" t="s">
        <v>5</v>
      </c>
      <c r="D353" s="16" t="s">
        <v>2</v>
      </c>
      <c r="E353" s="17">
        <f>4.873-0.073</f>
        <v>4.8</v>
      </c>
      <c r="F353" s="18">
        <f>78700+3000+1000</f>
        <v>82700</v>
      </c>
      <c r="N353" s="21"/>
      <c r="O353" s="22"/>
    </row>
    <row r="354" spans="1:15" s="10" customFormat="1" x14ac:dyDescent="0.25">
      <c r="A354" s="16">
        <v>114</v>
      </c>
      <c r="B354" s="16">
        <v>20</v>
      </c>
      <c r="C354" s="16" t="s">
        <v>7</v>
      </c>
      <c r="D354" s="16" t="s">
        <v>85</v>
      </c>
      <c r="E354" s="17">
        <f>5.426-0.336-0.604</f>
        <v>4.4859999999999998</v>
      </c>
      <c r="F354" s="18">
        <f>81700+1000</f>
        <v>82700</v>
      </c>
      <c r="N354" s="21"/>
      <c r="O354" s="22"/>
    </row>
    <row r="355" spans="1:15" s="10" customFormat="1" x14ac:dyDescent="0.25">
      <c r="A355" s="16">
        <v>114</v>
      </c>
      <c r="B355" s="16">
        <v>20</v>
      </c>
      <c r="C355" s="16" t="s">
        <v>7</v>
      </c>
      <c r="D355" s="16" t="s">
        <v>85</v>
      </c>
      <c r="E355" s="17">
        <v>5</v>
      </c>
      <c r="F355" s="18">
        <v>82700</v>
      </c>
      <c r="N355" s="21"/>
      <c r="O355" s="22"/>
    </row>
    <row r="356" spans="1:15" s="10" customFormat="1" x14ac:dyDescent="0.25">
      <c r="A356" s="16">
        <v>114</v>
      </c>
      <c r="B356" s="16">
        <v>22</v>
      </c>
      <c r="C356" s="16">
        <v>45</v>
      </c>
      <c r="D356" s="16" t="s">
        <v>85</v>
      </c>
      <c r="E356" s="17">
        <v>5</v>
      </c>
      <c r="F356" s="18">
        <f>69700+1000</f>
        <v>70700</v>
      </c>
      <c r="N356" s="21"/>
      <c r="O356" s="22"/>
    </row>
    <row r="357" spans="1:15" s="10" customFormat="1" x14ac:dyDescent="0.25">
      <c r="A357" s="16">
        <v>114</v>
      </c>
      <c r="B357" s="16">
        <v>22</v>
      </c>
      <c r="C357" s="16" t="s">
        <v>0</v>
      </c>
      <c r="D357" s="16" t="s">
        <v>2</v>
      </c>
      <c r="E357" s="17">
        <f>5.117-0.385-0.404-0.128-0.717-0.105-0.356-0.366-0.177-0.359-0.366</f>
        <v>1.754</v>
      </c>
      <c r="F357" s="18">
        <f>68700+3000+1000</f>
        <v>72700</v>
      </c>
      <c r="N357" s="21"/>
      <c r="O357" s="22"/>
    </row>
    <row r="358" spans="1:15" s="10" customFormat="1" x14ac:dyDescent="0.25">
      <c r="A358" s="16">
        <v>114</v>
      </c>
      <c r="B358" s="16">
        <v>22</v>
      </c>
      <c r="C358" s="16" t="s">
        <v>7</v>
      </c>
      <c r="D358" s="16" t="s">
        <v>85</v>
      </c>
      <c r="E358" s="17">
        <v>5</v>
      </c>
      <c r="F358" s="18">
        <f>81700+1000</f>
        <v>82700</v>
      </c>
      <c r="N358" s="21"/>
      <c r="O358" s="22"/>
    </row>
    <row r="359" spans="1:15" s="10" customFormat="1" x14ac:dyDescent="0.25">
      <c r="A359" s="16">
        <v>114</v>
      </c>
      <c r="B359" s="16">
        <v>24</v>
      </c>
      <c r="C359" s="16">
        <v>35</v>
      </c>
      <c r="D359" s="16" t="s">
        <v>2</v>
      </c>
      <c r="E359" s="17">
        <v>0.17</v>
      </c>
      <c r="F359" s="18">
        <f>66700+3000+1000</f>
        <v>70700</v>
      </c>
      <c r="N359" s="21"/>
      <c r="O359" s="22"/>
    </row>
    <row r="360" spans="1:15" s="10" customFormat="1" x14ac:dyDescent="0.25">
      <c r="A360" s="16">
        <v>114</v>
      </c>
      <c r="B360" s="16">
        <v>25</v>
      </c>
      <c r="C360" s="16">
        <v>20</v>
      </c>
      <c r="D360" s="16" t="s">
        <v>85</v>
      </c>
      <c r="E360" s="17">
        <f>5.233-0.879-0.084-0.451</f>
        <v>3.8189999999999995</v>
      </c>
      <c r="F360" s="18">
        <f>68700+1000</f>
        <v>69700</v>
      </c>
      <c r="N360" s="21"/>
      <c r="O360" s="22"/>
    </row>
    <row r="361" spans="1:15" s="10" customFormat="1" x14ac:dyDescent="0.25">
      <c r="A361" s="16">
        <v>114</v>
      </c>
      <c r="B361" s="16">
        <v>25</v>
      </c>
      <c r="C361" s="16">
        <v>35</v>
      </c>
      <c r="D361" s="16" t="s">
        <v>85</v>
      </c>
      <c r="E361" s="17">
        <v>4.4649999999999999</v>
      </c>
      <c r="F361" s="18">
        <f>69700+1000</f>
        <v>70700</v>
      </c>
      <c r="N361" s="21"/>
      <c r="O361" s="22"/>
    </row>
    <row r="362" spans="1:15" s="10" customFormat="1" x14ac:dyDescent="0.25">
      <c r="A362" s="16">
        <v>114</v>
      </c>
      <c r="B362" s="16">
        <v>25</v>
      </c>
      <c r="C362" s="16">
        <v>35</v>
      </c>
      <c r="D362" s="16" t="s">
        <v>85</v>
      </c>
      <c r="E362" s="17">
        <v>0.61499999999999999</v>
      </c>
      <c r="F362" s="18">
        <f>69700+1000</f>
        <v>70700</v>
      </c>
      <c r="N362" s="21"/>
      <c r="O362" s="22"/>
    </row>
    <row r="363" spans="1:15" s="10" customFormat="1" x14ac:dyDescent="0.25">
      <c r="A363" s="16">
        <v>114</v>
      </c>
      <c r="B363" s="16">
        <v>25</v>
      </c>
      <c r="C363" s="16">
        <v>45</v>
      </c>
      <c r="D363" s="16" t="s">
        <v>85</v>
      </c>
      <c r="E363" s="17">
        <v>4.8600000000000003</v>
      </c>
      <c r="F363" s="18">
        <f>69700+1000</f>
        <v>70700</v>
      </c>
      <c r="N363" s="21"/>
      <c r="O363" s="22"/>
    </row>
    <row r="364" spans="1:15" s="10" customFormat="1" x14ac:dyDescent="0.25">
      <c r="A364" s="16">
        <v>114</v>
      </c>
      <c r="B364" s="16">
        <v>25</v>
      </c>
      <c r="C364" s="16">
        <v>45</v>
      </c>
      <c r="D364" s="16" t="s">
        <v>85</v>
      </c>
      <c r="E364" s="17">
        <v>0.54500000000000004</v>
      </c>
      <c r="F364" s="18">
        <f>69700+1000</f>
        <v>70700</v>
      </c>
      <c r="N364" s="21"/>
      <c r="O364" s="22"/>
    </row>
    <row r="365" spans="1:15" s="10" customFormat="1" x14ac:dyDescent="0.25">
      <c r="A365" s="16">
        <v>114</v>
      </c>
      <c r="B365" s="16">
        <v>25</v>
      </c>
      <c r="C365" s="16" t="s">
        <v>5</v>
      </c>
      <c r="D365" s="16" t="s">
        <v>85</v>
      </c>
      <c r="E365" s="17">
        <v>5.0949999999999998</v>
      </c>
      <c r="F365" s="18">
        <f>81700+1000</f>
        <v>82700</v>
      </c>
      <c r="N365" s="21"/>
      <c r="O365" s="22"/>
    </row>
    <row r="366" spans="1:15" s="10" customFormat="1" x14ac:dyDescent="0.25">
      <c r="A366" s="16">
        <v>114</v>
      </c>
      <c r="B366" s="16">
        <v>28</v>
      </c>
      <c r="C366" s="16">
        <v>20</v>
      </c>
      <c r="D366" s="16" t="s">
        <v>85</v>
      </c>
      <c r="E366" s="17">
        <v>5</v>
      </c>
      <c r="F366" s="18">
        <f>68700+1000</f>
        <v>69700</v>
      </c>
      <c r="N366" s="21"/>
      <c r="O366" s="22"/>
    </row>
    <row r="367" spans="1:15" s="10" customFormat="1" x14ac:dyDescent="0.25">
      <c r="A367" s="16">
        <v>114</v>
      </c>
      <c r="B367" s="16">
        <v>28</v>
      </c>
      <c r="C367" s="16">
        <v>35</v>
      </c>
      <c r="D367" s="16" t="s">
        <v>85</v>
      </c>
      <c r="E367" s="17">
        <f>5.089-0.064</f>
        <v>5.0250000000000004</v>
      </c>
      <c r="F367" s="18">
        <f>69700+1000</f>
        <v>70700</v>
      </c>
      <c r="N367" s="21"/>
      <c r="O367" s="22"/>
    </row>
    <row r="368" spans="1:15" s="10" customFormat="1" x14ac:dyDescent="0.25">
      <c r="A368" s="16">
        <v>114</v>
      </c>
      <c r="B368" s="16">
        <v>28</v>
      </c>
      <c r="C368" s="16">
        <v>35</v>
      </c>
      <c r="D368" s="16" t="s">
        <v>85</v>
      </c>
      <c r="E368" s="17">
        <v>4.3849999999999998</v>
      </c>
      <c r="F368" s="18">
        <v>70700</v>
      </c>
      <c r="N368" s="21"/>
      <c r="O368" s="22"/>
    </row>
    <row r="369" spans="1:15" s="10" customFormat="1" x14ac:dyDescent="0.25">
      <c r="A369" s="16">
        <v>114</v>
      </c>
      <c r="B369" s="16">
        <v>28</v>
      </c>
      <c r="C369" s="16">
        <v>45</v>
      </c>
      <c r="D369" s="16" t="s">
        <v>85</v>
      </c>
      <c r="E369" s="17">
        <v>5.2080000000000002</v>
      </c>
      <c r="F369" s="18">
        <f>69700+1000</f>
        <v>70700</v>
      </c>
      <c r="N369" s="21"/>
      <c r="O369" s="22"/>
    </row>
    <row r="370" spans="1:15" s="10" customFormat="1" x14ac:dyDescent="0.25">
      <c r="A370" s="16">
        <v>114</v>
      </c>
      <c r="B370" s="16">
        <v>28</v>
      </c>
      <c r="C370" s="16" t="s">
        <v>0</v>
      </c>
      <c r="D370" s="16" t="s">
        <v>85</v>
      </c>
      <c r="E370" s="17">
        <v>5.4610000000000003</v>
      </c>
      <c r="F370" s="18">
        <f>68700+3000+1000</f>
        <v>72700</v>
      </c>
      <c r="N370" s="21"/>
      <c r="O370" s="22"/>
    </row>
    <row r="371" spans="1:15" s="10" customFormat="1" x14ac:dyDescent="0.25">
      <c r="A371" s="16">
        <v>114</v>
      </c>
      <c r="B371" s="16">
        <v>28</v>
      </c>
      <c r="C371" s="16" t="s">
        <v>5</v>
      </c>
      <c r="D371" s="16" t="s">
        <v>2</v>
      </c>
      <c r="E371" s="17">
        <f>4.48-0.182-0.926-0.592-0.306-0.303-0.589-0.267-1.195+0.003</f>
        <v>0.12299999999999989</v>
      </c>
      <c r="F371" s="18">
        <f>78700+3000+1000</f>
        <v>82700</v>
      </c>
      <c r="N371" s="21"/>
      <c r="O371" s="22"/>
    </row>
    <row r="372" spans="1:15" s="10" customFormat="1" x14ac:dyDescent="0.25">
      <c r="A372" s="16">
        <v>114</v>
      </c>
      <c r="B372" s="16">
        <v>28</v>
      </c>
      <c r="C372" s="16" t="s">
        <v>5</v>
      </c>
      <c r="D372" s="16" t="s">
        <v>85</v>
      </c>
      <c r="E372" s="17">
        <v>4.83</v>
      </c>
      <c r="F372" s="18">
        <f>81700+1000</f>
        <v>82700</v>
      </c>
      <c r="N372" s="21"/>
      <c r="O372" s="22"/>
    </row>
    <row r="373" spans="1:15" s="10" customFormat="1" x14ac:dyDescent="0.25">
      <c r="A373" s="16">
        <v>114</v>
      </c>
      <c r="B373" s="16">
        <v>28</v>
      </c>
      <c r="C373" s="16" t="s">
        <v>7</v>
      </c>
      <c r="D373" s="16" t="s">
        <v>85</v>
      </c>
      <c r="E373" s="17">
        <v>5</v>
      </c>
      <c r="F373" s="18">
        <f>81700+1000</f>
        <v>82700</v>
      </c>
      <c r="N373" s="21"/>
      <c r="O373" s="22"/>
    </row>
    <row r="374" spans="1:15" s="10" customFormat="1" x14ac:dyDescent="0.25">
      <c r="A374" s="16">
        <v>114</v>
      </c>
      <c r="B374" s="16">
        <v>28</v>
      </c>
      <c r="C374" s="16" t="s">
        <v>54</v>
      </c>
      <c r="D374" s="16" t="s">
        <v>2</v>
      </c>
      <c r="E374" s="17">
        <v>5</v>
      </c>
      <c r="F374" s="18">
        <v>154700</v>
      </c>
      <c r="N374" s="21"/>
      <c r="O374" s="22"/>
    </row>
    <row r="375" spans="1:15" s="10" customFormat="1" x14ac:dyDescent="0.25">
      <c r="A375" s="16">
        <v>117</v>
      </c>
      <c r="B375" s="16">
        <v>6</v>
      </c>
      <c r="C375" s="16">
        <v>35</v>
      </c>
      <c r="D375" s="16" t="s">
        <v>42</v>
      </c>
      <c r="E375" s="17">
        <v>3.1160000000000001</v>
      </c>
      <c r="F375" s="18">
        <f>90700+1000</f>
        <v>91700</v>
      </c>
      <c r="N375" s="21"/>
      <c r="O375" s="22"/>
    </row>
    <row r="376" spans="1:15" s="10" customFormat="1" x14ac:dyDescent="0.25">
      <c r="A376" s="16">
        <v>121</v>
      </c>
      <c r="B376" s="16">
        <v>6</v>
      </c>
      <c r="C376" s="16">
        <v>35</v>
      </c>
      <c r="D376" s="16" t="s">
        <v>2</v>
      </c>
      <c r="E376" s="17">
        <f>2.303-0.018</f>
        <v>2.2850000000000001</v>
      </c>
      <c r="F376" s="18">
        <f>66700+3000+1000</f>
        <v>70700</v>
      </c>
      <c r="N376" s="21"/>
      <c r="O376" s="22"/>
    </row>
    <row r="377" spans="1:15" s="10" customFormat="1" x14ac:dyDescent="0.25">
      <c r="A377" s="16">
        <v>121</v>
      </c>
      <c r="B377" s="16">
        <v>8</v>
      </c>
      <c r="C377" s="16">
        <v>20</v>
      </c>
      <c r="D377" s="16" t="s">
        <v>2</v>
      </c>
      <c r="E377" s="17">
        <f>9.48-2.585-2.515-0.027-0.118-0.013-0.135-0.501-0.093-0.515</f>
        <v>2.9780000000000006</v>
      </c>
      <c r="F377" s="18">
        <f>68700+1000</f>
        <v>69700</v>
      </c>
      <c r="N377" s="21"/>
      <c r="O377" s="22"/>
    </row>
    <row r="378" spans="1:15" s="10" customFormat="1" x14ac:dyDescent="0.25">
      <c r="A378" s="16">
        <v>121</v>
      </c>
      <c r="B378" s="16">
        <v>9</v>
      </c>
      <c r="C378" s="16">
        <v>20</v>
      </c>
      <c r="D378" s="16" t="s">
        <v>2</v>
      </c>
      <c r="E378" s="17">
        <v>0.128</v>
      </c>
      <c r="F378" s="18">
        <f>65700+3000</f>
        <v>68700</v>
      </c>
      <c r="N378" s="21"/>
      <c r="O378" s="22"/>
    </row>
    <row r="379" spans="1:15" s="10" customFormat="1" x14ac:dyDescent="0.25">
      <c r="A379" s="16">
        <v>121</v>
      </c>
      <c r="B379" s="16">
        <v>10</v>
      </c>
      <c r="C379" s="16" t="s">
        <v>0</v>
      </c>
      <c r="D379" s="16" t="s">
        <v>2</v>
      </c>
      <c r="E379" s="17">
        <f>2.077-0.471-0.218</f>
        <v>1.3879999999999999</v>
      </c>
      <c r="F379" s="18">
        <f>68700+3000+1000</f>
        <v>72700</v>
      </c>
      <c r="N379" s="21"/>
      <c r="O379" s="22"/>
    </row>
    <row r="380" spans="1:15" s="10" customFormat="1" x14ac:dyDescent="0.25">
      <c r="A380" s="16">
        <v>121</v>
      </c>
      <c r="B380" s="16">
        <v>10</v>
      </c>
      <c r="C380" s="16" t="s">
        <v>0</v>
      </c>
      <c r="D380" s="16" t="s">
        <v>2</v>
      </c>
      <c r="E380" s="17">
        <f>3.043-0.019-0.084-0.015-2.843+0.001</f>
        <v>8.2999999999999852E-2</v>
      </c>
      <c r="F380" s="18">
        <f>68700+3000+1000</f>
        <v>72700</v>
      </c>
      <c r="N380" s="21"/>
      <c r="O380" s="22"/>
    </row>
    <row r="381" spans="1:15" s="10" customFormat="1" x14ac:dyDescent="0.25">
      <c r="A381" s="16">
        <v>121</v>
      </c>
      <c r="B381" s="16">
        <v>10</v>
      </c>
      <c r="C381" s="16" t="s">
        <v>0</v>
      </c>
      <c r="D381" s="16" t="s">
        <v>85</v>
      </c>
      <c r="E381" s="17">
        <v>5</v>
      </c>
      <c r="F381" s="18">
        <f>68700+3000+1000</f>
        <v>72700</v>
      </c>
      <c r="N381" s="21"/>
      <c r="O381" s="22"/>
    </row>
    <row r="382" spans="1:15" s="10" customFormat="1" x14ac:dyDescent="0.25">
      <c r="A382" s="16">
        <v>121</v>
      </c>
      <c r="B382" s="16">
        <v>10</v>
      </c>
      <c r="C382" s="16" t="s">
        <v>5</v>
      </c>
      <c r="D382" s="16" t="s">
        <v>2</v>
      </c>
      <c r="E382" s="17">
        <f>5.143-0.5-0.085</f>
        <v>4.5579999999999998</v>
      </c>
      <c r="F382" s="18">
        <f>81700+1000</f>
        <v>82700</v>
      </c>
      <c r="N382" s="21"/>
      <c r="O382" s="22"/>
    </row>
    <row r="383" spans="1:15" s="10" customFormat="1" x14ac:dyDescent="0.25">
      <c r="A383" s="16">
        <v>121</v>
      </c>
      <c r="B383" s="16">
        <v>12</v>
      </c>
      <c r="C383" s="16">
        <v>20</v>
      </c>
      <c r="D383" s="16" t="s">
        <v>2</v>
      </c>
      <c r="E383" s="17">
        <f>12.277-0.189-0.419-0.017-0.035-0.066-0.021-0.853-0.011</f>
        <v>10.665999999999999</v>
      </c>
      <c r="F383" s="18">
        <f>65700+3000+1000</f>
        <v>69700</v>
      </c>
      <c r="N383" s="21"/>
      <c r="O383" s="22"/>
    </row>
    <row r="384" spans="1:15" s="10" customFormat="1" x14ac:dyDescent="0.25">
      <c r="A384" s="16">
        <v>121</v>
      </c>
      <c r="B384" s="16">
        <v>12</v>
      </c>
      <c r="C384" s="16">
        <v>20</v>
      </c>
      <c r="D384" s="16" t="s">
        <v>2</v>
      </c>
      <c r="E384" s="17">
        <v>0.17299999999999999</v>
      </c>
      <c r="F384" s="18">
        <f>68700+1000</f>
        <v>69700</v>
      </c>
      <c r="N384" s="21"/>
      <c r="O384" s="22"/>
    </row>
    <row r="385" spans="1:15" s="10" customFormat="1" x14ac:dyDescent="0.25">
      <c r="A385" s="16">
        <v>121</v>
      </c>
      <c r="B385" s="16">
        <v>12</v>
      </c>
      <c r="C385" s="16" t="s">
        <v>18</v>
      </c>
      <c r="D385" s="16" t="s">
        <v>19</v>
      </c>
      <c r="E385" s="17">
        <v>3.351</v>
      </c>
      <c r="F385" s="18">
        <f>71000+1000</f>
        <v>72000</v>
      </c>
      <c r="N385" s="21"/>
      <c r="O385" s="22"/>
    </row>
    <row r="386" spans="1:15" s="10" customFormat="1" x14ac:dyDescent="0.25">
      <c r="A386" s="16">
        <v>121</v>
      </c>
      <c r="B386" s="16">
        <v>12</v>
      </c>
      <c r="C386" s="16">
        <v>35</v>
      </c>
      <c r="D386" s="16" t="s">
        <v>2</v>
      </c>
      <c r="E386" s="17">
        <f>5.28-2.727-0.21-0.068</f>
        <v>2.2750000000000004</v>
      </c>
      <c r="F386" s="18">
        <f>66700+3000+1000</f>
        <v>70700</v>
      </c>
      <c r="N386" s="21"/>
      <c r="O386" s="22"/>
    </row>
    <row r="387" spans="1:15" s="10" customFormat="1" x14ac:dyDescent="0.25">
      <c r="A387" s="16">
        <v>121</v>
      </c>
      <c r="B387" s="16">
        <v>12</v>
      </c>
      <c r="C387" s="16" t="s">
        <v>0</v>
      </c>
      <c r="D387" s="16" t="s">
        <v>85</v>
      </c>
      <c r="E387" s="17">
        <f>14.148-0.024</f>
        <v>14.124000000000001</v>
      </c>
      <c r="F387" s="18">
        <f>68700+3000+1000</f>
        <v>72700</v>
      </c>
      <c r="N387" s="21"/>
      <c r="O387" s="22"/>
    </row>
    <row r="388" spans="1:15" s="10" customFormat="1" x14ac:dyDescent="0.25">
      <c r="A388" s="16">
        <v>121</v>
      </c>
      <c r="B388" s="16">
        <v>12</v>
      </c>
      <c r="C388" s="16" t="s">
        <v>5</v>
      </c>
      <c r="D388" s="16" t="s">
        <v>2</v>
      </c>
      <c r="E388" s="17">
        <f>4.536-1.482</f>
        <v>3.0539999999999994</v>
      </c>
      <c r="F388" s="18">
        <f>78700+3000+1000</f>
        <v>82700</v>
      </c>
      <c r="N388" s="21"/>
      <c r="O388" s="22"/>
    </row>
    <row r="389" spans="1:15" s="10" customFormat="1" x14ac:dyDescent="0.25">
      <c r="A389" s="16">
        <v>121</v>
      </c>
      <c r="B389" s="16">
        <v>12</v>
      </c>
      <c r="C389" s="16" t="s">
        <v>7</v>
      </c>
      <c r="D389" s="16" t="s">
        <v>2</v>
      </c>
      <c r="E389" s="17">
        <f>2.76-0.231-0.073-0.237-0.21</f>
        <v>2.0089999999999999</v>
      </c>
      <c r="F389" s="18">
        <f>78700+3000+1000</f>
        <v>82700</v>
      </c>
      <c r="N389" s="21"/>
      <c r="O389" s="22"/>
    </row>
    <row r="390" spans="1:15" s="10" customFormat="1" x14ac:dyDescent="0.25">
      <c r="A390" s="16">
        <v>121</v>
      </c>
      <c r="B390" s="16">
        <v>14</v>
      </c>
      <c r="C390" s="16" t="s">
        <v>50</v>
      </c>
      <c r="D390" s="16" t="s">
        <v>2</v>
      </c>
      <c r="E390" s="17">
        <v>0.19500000000000001</v>
      </c>
      <c r="F390" s="18">
        <f>65700+3000</f>
        <v>68700</v>
      </c>
      <c r="N390" s="21"/>
      <c r="O390" s="22"/>
    </row>
    <row r="391" spans="1:15" s="10" customFormat="1" x14ac:dyDescent="0.25">
      <c r="A391" s="16">
        <v>121</v>
      </c>
      <c r="B391" s="16">
        <v>14</v>
      </c>
      <c r="C391" s="16">
        <v>20</v>
      </c>
      <c r="D391" s="16" t="s">
        <v>85</v>
      </c>
      <c r="E391" s="17">
        <v>4.7359999999999998</v>
      </c>
      <c r="F391" s="18">
        <f>68700+1000</f>
        <v>69700</v>
      </c>
      <c r="N391" s="21"/>
      <c r="O391" s="22"/>
    </row>
    <row r="392" spans="1:15" s="10" customFormat="1" x14ac:dyDescent="0.25">
      <c r="A392" s="16">
        <v>121</v>
      </c>
      <c r="B392" s="16">
        <v>16</v>
      </c>
      <c r="C392" s="16">
        <v>20</v>
      </c>
      <c r="D392" s="16" t="s">
        <v>85</v>
      </c>
      <c r="E392" s="17">
        <v>5</v>
      </c>
      <c r="F392" s="18">
        <f>68700+1000</f>
        <v>69700</v>
      </c>
      <c r="N392" s="21"/>
      <c r="O392" s="22"/>
    </row>
    <row r="393" spans="1:15" s="10" customFormat="1" x14ac:dyDescent="0.25">
      <c r="A393" s="16">
        <v>121</v>
      </c>
      <c r="B393" s="16">
        <v>16</v>
      </c>
      <c r="C393" s="16">
        <v>35</v>
      </c>
      <c r="D393" s="16" t="s">
        <v>85</v>
      </c>
      <c r="E393" s="17">
        <f>5.284-0.286-0.53</f>
        <v>4.468</v>
      </c>
      <c r="F393" s="18">
        <f>69700+1000</f>
        <v>70700</v>
      </c>
      <c r="N393" s="21"/>
      <c r="O393" s="22"/>
    </row>
    <row r="394" spans="1:15" s="10" customFormat="1" x14ac:dyDescent="0.25">
      <c r="A394" s="16">
        <v>121</v>
      </c>
      <c r="B394" s="16">
        <v>18</v>
      </c>
      <c r="C394" s="16" t="s">
        <v>0</v>
      </c>
      <c r="D394" s="16" t="s">
        <v>85</v>
      </c>
      <c r="E394" s="17">
        <f>5.071-0.1-0.35</f>
        <v>4.6210000000000004</v>
      </c>
      <c r="F394" s="18">
        <f>68700+3000+1000</f>
        <v>72700</v>
      </c>
      <c r="N394" s="21"/>
      <c r="O394" s="22"/>
    </row>
    <row r="395" spans="1:15" s="10" customFormat="1" x14ac:dyDescent="0.25">
      <c r="A395" s="16">
        <v>121</v>
      </c>
      <c r="B395" s="19">
        <v>18</v>
      </c>
      <c r="C395" s="16" t="s">
        <v>7</v>
      </c>
      <c r="D395" s="16" t="s">
        <v>2</v>
      </c>
      <c r="E395" s="17">
        <f>1.256-0.925+0.001-0.139-0.048</f>
        <v>0.14499999999999996</v>
      </c>
      <c r="F395" s="18">
        <f>78700+3000+1000</f>
        <v>82700</v>
      </c>
      <c r="N395" s="21"/>
      <c r="O395" s="22"/>
    </row>
    <row r="396" spans="1:15" s="10" customFormat="1" x14ac:dyDescent="0.25">
      <c r="A396" s="16">
        <v>121</v>
      </c>
      <c r="B396" s="16">
        <v>18</v>
      </c>
      <c r="C396" s="16" t="s">
        <v>7</v>
      </c>
      <c r="D396" s="16" t="s">
        <v>2</v>
      </c>
      <c r="E396" s="17">
        <f>5.459-0.606-0.307-0.308-0.302</f>
        <v>3.9359999999999995</v>
      </c>
      <c r="F396" s="18">
        <f>78700+3000+1000</f>
        <v>82700</v>
      </c>
      <c r="N396" s="21"/>
      <c r="O396" s="22"/>
    </row>
    <row r="397" spans="1:15" s="10" customFormat="1" x14ac:dyDescent="0.25">
      <c r="A397" s="16">
        <v>121</v>
      </c>
      <c r="B397" s="16">
        <v>18</v>
      </c>
      <c r="C397" s="16" t="s">
        <v>7</v>
      </c>
      <c r="D397" s="16" t="s">
        <v>85</v>
      </c>
      <c r="E397" s="17">
        <v>5</v>
      </c>
      <c r="F397" s="18">
        <f>81700+1000</f>
        <v>82700</v>
      </c>
      <c r="N397" s="21"/>
      <c r="O397" s="22"/>
    </row>
    <row r="398" spans="1:15" s="10" customFormat="1" x14ac:dyDescent="0.25">
      <c r="A398" s="16">
        <v>121</v>
      </c>
      <c r="B398" s="16">
        <v>20</v>
      </c>
      <c r="C398" s="16">
        <v>20</v>
      </c>
      <c r="D398" s="16" t="s">
        <v>2</v>
      </c>
      <c r="E398" s="17">
        <f>5.09-0.339-0.343-0.341-0.054-0.343-0.026-0.344-0.34</f>
        <v>2.9599999999999995</v>
      </c>
      <c r="F398" s="18">
        <f>65700+3000+1000</f>
        <v>69700</v>
      </c>
      <c r="N398" s="21"/>
      <c r="O398" s="22"/>
    </row>
    <row r="399" spans="1:15" s="10" customFormat="1" x14ac:dyDescent="0.25">
      <c r="A399" s="16">
        <v>121</v>
      </c>
      <c r="B399" s="16">
        <v>20</v>
      </c>
      <c r="C399" s="16">
        <v>45</v>
      </c>
      <c r="D399" s="16" t="s">
        <v>2</v>
      </c>
      <c r="E399" s="17">
        <f>5.49-0.017-0.333-0.152-0.627-0.336</f>
        <v>4.0249999999999995</v>
      </c>
      <c r="F399" s="18">
        <f>66700+3000+1000</f>
        <v>70700</v>
      </c>
      <c r="N399" s="21"/>
      <c r="O399" s="22"/>
    </row>
    <row r="400" spans="1:15" s="10" customFormat="1" x14ac:dyDescent="0.25">
      <c r="A400" s="16">
        <v>121</v>
      </c>
      <c r="B400" s="16">
        <v>20</v>
      </c>
      <c r="C400" s="16" t="s">
        <v>5</v>
      </c>
      <c r="D400" s="16" t="s">
        <v>85</v>
      </c>
      <c r="E400" s="17">
        <v>4.6760000000000002</v>
      </c>
      <c r="F400" s="18">
        <f>81700+1000</f>
        <v>82700</v>
      </c>
      <c r="N400" s="21"/>
      <c r="O400" s="22"/>
    </row>
    <row r="401" spans="1:15" s="10" customFormat="1" x14ac:dyDescent="0.25">
      <c r="A401" s="16">
        <v>121</v>
      </c>
      <c r="B401" s="16">
        <v>22</v>
      </c>
      <c r="C401" s="16" t="s">
        <v>7</v>
      </c>
      <c r="D401" s="16" t="s">
        <v>2</v>
      </c>
      <c r="E401" s="17">
        <f>9.72+0.377-1.872-0.09-1.145-0.367-0.38-0.008-0.283-0.379</f>
        <v>5.5730000000000022</v>
      </c>
      <c r="F401" s="18">
        <f>78700+3000+1000</f>
        <v>82700</v>
      </c>
      <c r="N401" s="21"/>
      <c r="O401" s="22"/>
    </row>
    <row r="402" spans="1:15" s="10" customFormat="1" x14ac:dyDescent="0.25">
      <c r="A402" s="16">
        <v>121</v>
      </c>
      <c r="B402" s="16">
        <v>24</v>
      </c>
      <c r="C402" s="16" t="s">
        <v>0</v>
      </c>
      <c r="D402" s="16" t="s">
        <v>85</v>
      </c>
      <c r="E402" s="17">
        <v>10</v>
      </c>
      <c r="F402" s="18">
        <f>68700+3000+1000</f>
        <v>72700</v>
      </c>
      <c r="N402" s="21"/>
      <c r="O402" s="22"/>
    </row>
    <row r="403" spans="1:15" s="10" customFormat="1" x14ac:dyDescent="0.25">
      <c r="A403" s="16">
        <v>121</v>
      </c>
      <c r="B403" s="20">
        <v>24</v>
      </c>
      <c r="C403" s="16" t="s">
        <v>6</v>
      </c>
      <c r="D403" s="16" t="s">
        <v>2</v>
      </c>
      <c r="E403" s="17">
        <f>0.182-0.077</f>
        <v>0.105</v>
      </c>
      <c r="F403" s="18">
        <f>78700+3000+1000</f>
        <v>82700</v>
      </c>
      <c r="N403" s="21"/>
      <c r="O403" s="22"/>
    </row>
    <row r="404" spans="1:15" s="10" customFormat="1" x14ac:dyDescent="0.25">
      <c r="A404" s="16">
        <v>121</v>
      </c>
      <c r="B404" s="20">
        <v>25</v>
      </c>
      <c r="C404" s="16">
        <v>20</v>
      </c>
      <c r="D404" s="16" t="s">
        <v>85</v>
      </c>
      <c r="E404" s="17">
        <v>4.7430000000000003</v>
      </c>
      <c r="F404" s="18">
        <f>68700+1000</f>
        <v>69700</v>
      </c>
      <c r="N404" s="21"/>
      <c r="O404" s="22"/>
    </row>
    <row r="405" spans="1:15" s="10" customFormat="1" x14ac:dyDescent="0.25">
      <c r="A405" s="16">
        <v>121</v>
      </c>
      <c r="B405" s="16">
        <v>25</v>
      </c>
      <c r="C405" s="16">
        <v>20</v>
      </c>
      <c r="D405" s="16" t="s">
        <v>85</v>
      </c>
      <c r="E405" s="17">
        <v>5</v>
      </c>
      <c r="F405" s="18">
        <f>68700+1000</f>
        <v>69700</v>
      </c>
      <c r="N405" s="21"/>
      <c r="O405" s="22"/>
    </row>
    <row r="406" spans="1:15" s="10" customFormat="1" x14ac:dyDescent="0.25">
      <c r="A406" s="16">
        <v>121</v>
      </c>
      <c r="B406" s="16">
        <v>25</v>
      </c>
      <c r="C406" s="16">
        <v>35</v>
      </c>
      <c r="D406" s="16" t="s">
        <v>85</v>
      </c>
      <c r="E406" s="17">
        <v>4.25</v>
      </c>
      <c r="F406" s="18">
        <f>69700+1000</f>
        <v>70700</v>
      </c>
      <c r="N406" s="21"/>
      <c r="O406" s="22"/>
    </row>
    <row r="407" spans="1:15" s="10" customFormat="1" x14ac:dyDescent="0.25">
      <c r="A407" s="16">
        <v>121</v>
      </c>
      <c r="B407" s="16">
        <v>25</v>
      </c>
      <c r="C407" s="16">
        <v>35</v>
      </c>
      <c r="D407" s="16" t="s">
        <v>85</v>
      </c>
      <c r="E407" s="17">
        <v>0.82499999999999996</v>
      </c>
      <c r="F407" s="18">
        <f>69700+1000</f>
        <v>70700</v>
      </c>
      <c r="N407" s="21"/>
      <c r="O407" s="22"/>
    </row>
    <row r="408" spans="1:15" s="10" customFormat="1" x14ac:dyDescent="0.25">
      <c r="A408" s="16">
        <v>121</v>
      </c>
      <c r="B408" s="16">
        <v>25</v>
      </c>
      <c r="C408" s="16">
        <v>45</v>
      </c>
      <c r="D408" s="16" t="s">
        <v>85</v>
      </c>
      <c r="E408" s="17">
        <v>5</v>
      </c>
      <c r="F408" s="18">
        <f>69700+1000</f>
        <v>70700</v>
      </c>
      <c r="N408" s="21"/>
      <c r="O408" s="22"/>
    </row>
    <row r="409" spans="1:15" s="10" customFormat="1" x14ac:dyDescent="0.25">
      <c r="A409" s="16">
        <v>121</v>
      </c>
      <c r="B409" s="16">
        <v>25</v>
      </c>
      <c r="C409" s="16" t="s">
        <v>5</v>
      </c>
      <c r="D409" s="16" t="s">
        <v>2</v>
      </c>
      <c r="E409" s="17">
        <v>5.399</v>
      </c>
      <c r="F409" s="18">
        <f>78700+3000+1000</f>
        <v>82700</v>
      </c>
      <c r="N409" s="21"/>
      <c r="O409" s="22"/>
    </row>
    <row r="410" spans="1:15" s="10" customFormat="1" x14ac:dyDescent="0.25">
      <c r="A410" s="16">
        <v>121</v>
      </c>
      <c r="B410" s="16">
        <v>25</v>
      </c>
      <c r="C410" s="16" t="s">
        <v>7</v>
      </c>
      <c r="D410" s="16" t="s">
        <v>85</v>
      </c>
      <c r="E410" s="17">
        <v>5</v>
      </c>
      <c r="F410" s="18">
        <f>81700+1000</f>
        <v>82700</v>
      </c>
      <c r="N410" s="21"/>
      <c r="O410" s="22"/>
    </row>
    <row r="411" spans="1:15" s="10" customFormat="1" x14ac:dyDescent="0.25">
      <c r="A411" s="16">
        <v>121</v>
      </c>
      <c r="B411" s="16">
        <v>28</v>
      </c>
      <c r="C411" s="16">
        <v>45</v>
      </c>
      <c r="D411" s="16" t="s">
        <v>85</v>
      </c>
      <c r="E411" s="17">
        <v>5</v>
      </c>
      <c r="F411" s="18">
        <f>69700+1000</f>
        <v>70700</v>
      </c>
      <c r="N411" s="21"/>
      <c r="O411" s="22"/>
    </row>
    <row r="412" spans="1:15" s="10" customFormat="1" x14ac:dyDescent="0.25">
      <c r="A412" s="16">
        <v>121</v>
      </c>
      <c r="B412" s="16">
        <v>28</v>
      </c>
      <c r="C412" s="16" t="s">
        <v>7</v>
      </c>
      <c r="D412" s="16" t="s">
        <v>2</v>
      </c>
      <c r="E412" s="17">
        <v>5.2430000000000003</v>
      </c>
      <c r="F412" s="18">
        <f>78700+3000+1000</f>
        <v>82700</v>
      </c>
      <c r="N412" s="21"/>
      <c r="O412" s="22"/>
    </row>
    <row r="413" spans="1:15" s="10" customFormat="1" x14ac:dyDescent="0.25">
      <c r="A413" s="16">
        <v>121</v>
      </c>
      <c r="B413" s="16">
        <v>28</v>
      </c>
      <c r="C413" s="16" t="s">
        <v>7</v>
      </c>
      <c r="D413" s="16" t="s">
        <v>85</v>
      </c>
      <c r="E413" s="17">
        <v>5</v>
      </c>
      <c r="F413" s="18">
        <f>81700+1000</f>
        <v>82700</v>
      </c>
      <c r="N413" s="21"/>
      <c r="O413" s="22"/>
    </row>
    <row r="414" spans="1:15" s="10" customFormat="1" x14ac:dyDescent="0.25">
      <c r="A414" s="16">
        <v>121</v>
      </c>
      <c r="B414" s="16">
        <v>30</v>
      </c>
      <c r="C414" s="16" t="s">
        <v>5</v>
      </c>
      <c r="D414" s="16" t="s">
        <v>2</v>
      </c>
      <c r="E414" s="17">
        <v>5.4569999999999999</v>
      </c>
      <c r="F414" s="18">
        <f>78700+3000+1000</f>
        <v>82700</v>
      </c>
      <c r="N414" s="21"/>
      <c r="O414" s="22"/>
    </row>
    <row r="415" spans="1:15" s="10" customFormat="1" x14ac:dyDescent="0.25">
      <c r="A415" s="16">
        <v>127</v>
      </c>
      <c r="B415" s="16">
        <v>8</v>
      </c>
      <c r="C415" s="16">
        <v>20</v>
      </c>
      <c r="D415" s="16" t="s">
        <v>2</v>
      </c>
      <c r="E415" s="17">
        <f>5.11-0.025-0.061-0.025</f>
        <v>4.9989999999999997</v>
      </c>
      <c r="F415" s="18">
        <f>68700+1000</f>
        <v>69700</v>
      </c>
      <c r="N415" s="21"/>
      <c r="O415" s="22"/>
    </row>
    <row r="416" spans="1:15" s="10" customFormat="1" x14ac:dyDescent="0.25">
      <c r="A416" s="16">
        <v>127</v>
      </c>
      <c r="B416" s="16">
        <v>10</v>
      </c>
      <c r="C416" s="16" t="s">
        <v>7</v>
      </c>
      <c r="D416" s="16" t="s">
        <v>2</v>
      </c>
      <c r="E416" s="17">
        <f>5.24-0.954-0.486-1.476-0.672-0.215-0.247-0.143-0.489-0.104</f>
        <v>0.4540000000000004</v>
      </c>
      <c r="F416" s="18">
        <f>78700+3000+1000</f>
        <v>82700</v>
      </c>
      <c r="N416" s="21"/>
      <c r="O416" s="22"/>
    </row>
    <row r="417" spans="1:15" s="10" customFormat="1" x14ac:dyDescent="0.25">
      <c r="A417" s="16">
        <v>127</v>
      </c>
      <c r="B417" s="16">
        <v>10</v>
      </c>
      <c r="C417" s="16" t="s">
        <v>97</v>
      </c>
      <c r="D417" s="16" t="s">
        <v>85</v>
      </c>
      <c r="E417" s="17">
        <v>5.0549999999999997</v>
      </c>
      <c r="F417" s="18">
        <f>81700+1000</f>
        <v>82700</v>
      </c>
      <c r="N417" s="21"/>
      <c r="O417" s="22"/>
    </row>
    <row r="418" spans="1:15" s="10" customFormat="1" x14ac:dyDescent="0.25">
      <c r="A418" s="16">
        <v>127</v>
      </c>
      <c r="B418" s="16">
        <v>12</v>
      </c>
      <c r="C418" s="16">
        <v>35</v>
      </c>
      <c r="D418" s="16" t="s">
        <v>2</v>
      </c>
      <c r="E418" s="17">
        <f>5.118-0.222-0.16-0.053-0.634-0.876-0.655-0.16-0.437-0.22-0.34-0.22-0.217</f>
        <v>0.9239999999999996</v>
      </c>
      <c r="F418" s="18">
        <f>66700+3000+1000</f>
        <v>70700</v>
      </c>
      <c r="N418" s="21"/>
      <c r="O418" s="22"/>
    </row>
    <row r="419" spans="1:15" s="10" customFormat="1" x14ac:dyDescent="0.25">
      <c r="A419" s="16">
        <v>127</v>
      </c>
      <c r="B419" s="16">
        <v>14</v>
      </c>
      <c r="C419" s="16">
        <v>20</v>
      </c>
      <c r="D419" s="16" t="s">
        <v>85</v>
      </c>
      <c r="E419" s="17">
        <v>4.4870000000000001</v>
      </c>
      <c r="F419" s="18">
        <f>68700+1000</f>
        <v>69700</v>
      </c>
      <c r="N419" s="21"/>
      <c r="O419" s="22"/>
    </row>
    <row r="420" spans="1:15" s="10" customFormat="1" x14ac:dyDescent="0.25">
      <c r="A420" s="16">
        <v>127</v>
      </c>
      <c r="B420" s="16">
        <v>14</v>
      </c>
      <c r="C420" s="16">
        <v>20</v>
      </c>
      <c r="D420" s="16" t="s">
        <v>85</v>
      </c>
      <c r="E420" s="17">
        <v>0.22</v>
      </c>
      <c r="F420" s="18">
        <f>68700+1000</f>
        <v>69700</v>
      </c>
      <c r="N420" s="21"/>
      <c r="O420" s="22"/>
    </row>
    <row r="421" spans="1:15" s="10" customFormat="1" x14ac:dyDescent="0.25">
      <c r="A421" s="16">
        <v>127</v>
      </c>
      <c r="B421" s="16">
        <v>14</v>
      </c>
      <c r="C421" s="16" t="s">
        <v>0</v>
      </c>
      <c r="D421" s="16" t="s">
        <v>2</v>
      </c>
      <c r="E421" s="17">
        <f>3.04-1.109-0.049-0.446-0.23-0.042-0.205-0.02-0.224</f>
        <v>0.71500000000000019</v>
      </c>
      <c r="F421" s="18">
        <f>68700+3000+1000</f>
        <v>72700</v>
      </c>
      <c r="N421" s="21"/>
      <c r="O421" s="22"/>
    </row>
    <row r="422" spans="1:15" s="10" customFormat="1" x14ac:dyDescent="0.25">
      <c r="A422" s="16">
        <v>127</v>
      </c>
      <c r="B422" s="16">
        <v>14</v>
      </c>
      <c r="C422" s="16" t="s">
        <v>0</v>
      </c>
      <c r="D422" s="16" t="s">
        <v>85</v>
      </c>
      <c r="E422" s="17">
        <v>5.0309999999999997</v>
      </c>
      <c r="F422" s="18">
        <f>68700+3000+1000</f>
        <v>72700</v>
      </c>
      <c r="N422" s="21"/>
      <c r="O422" s="22"/>
    </row>
    <row r="423" spans="1:15" s="10" customFormat="1" x14ac:dyDescent="0.25">
      <c r="A423" s="16">
        <v>127</v>
      </c>
      <c r="B423" s="16">
        <v>14</v>
      </c>
      <c r="C423" s="16">
        <v>35</v>
      </c>
      <c r="D423" s="16" t="s">
        <v>85</v>
      </c>
      <c r="E423" s="17">
        <v>4.6550000000000002</v>
      </c>
      <c r="F423" s="18">
        <f>69700+1000</f>
        <v>70700</v>
      </c>
      <c r="N423" s="21"/>
      <c r="O423" s="22"/>
    </row>
    <row r="424" spans="1:15" s="10" customFormat="1" x14ac:dyDescent="0.25">
      <c r="A424" s="16">
        <v>127</v>
      </c>
      <c r="B424" s="16">
        <v>14</v>
      </c>
      <c r="C424" s="16">
        <v>35</v>
      </c>
      <c r="D424" s="16" t="s">
        <v>85</v>
      </c>
      <c r="E424" s="17">
        <v>0.48</v>
      </c>
      <c r="F424" s="18">
        <f>69700+1000</f>
        <v>70700</v>
      </c>
      <c r="N424" s="21"/>
      <c r="O424" s="22"/>
    </row>
    <row r="425" spans="1:15" s="10" customFormat="1" x14ac:dyDescent="0.25">
      <c r="A425" s="16">
        <v>127</v>
      </c>
      <c r="B425" s="16">
        <v>14</v>
      </c>
      <c r="C425" s="16" t="s">
        <v>7</v>
      </c>
      <c r="D425" s="16" t="s">
        <v>2</v>
      </c>
      <c r="E425" s="17">
        <f>5.01-0.023-0.091-0.042-0.477-0.966</f>
        <v>3.4109999999999996</v>
      </c>
      <c r="F425" s="18">
        <f>78700+3000+1000</f>
        <v>82700</v>
      </c>
      <c r="N425" s="21"/>
      <c r="O425" s="22"/>
    </row>
    <row r="426" spans="1:15" s="10" customFormat="1" x14ac:dyDescent="0.25">
      <c r="A426" s="16">
        <v>127</v>
      </c>
      <c r="B426" s="16">
        <v>16</v>
      </c>
      <c r="C426" s="16">
        <v>35</v>
      </c>
      <c r="D426" s="16" t="s">
        <v>2</v>
      </c>
      <c r="E426" s="17">
        <f>2.234-0.321-0.315-0.32</f>
        <v>1.278</v>
      </c>
      <c r="F426" s="18">
        <f>66700+3000+1000</f>
        <v>70700</v>
      </c>
      <c r="N426" s="21"/>
      <c r="O426" s="22"/>
    </row>
    <row r="427" spans="1:15" s="10" customFormat="1" x14ac:dyDescent="0.25">
      <c r="A427" s="16">
        <v>127</v>
      </c>
      <c r="B427" s="16">
        <v>16</v>
      </c>
      <c r="C427" s="16">
        <v>35</v>
      </c>
      <c r="D427" s="16" t="s">
        <v>2</v>
      </c>
      <c r="E427" s="17">
        <f>0.21-0.078+0.001-0.078</f>
        <v>5.5000000000000007E-2</v>
      </c>
      <c r="F427" s="18">
        <f>66700+3000+1000</f>
        <v>70700</v>
      </c>
      <c r="N427" s="21"/>
      <c r="O427" s="22"/>
    </row>
    <row r="428" spans="1:15" s="10" customFormat="1" x14ac:dyDescent="0.25">
      <c r="A428" s="16">
        <v>127</v>
      </c>
      <c r="B428" s="16">
        <v>18</v>
      </c>
      <c r="C428" s="16">
        <v>45</v>
      </c>
      <c r="D428" s="16" t="s">
        <v>85</v>
      </c>
      <c r="E428" s="17">
        <v>5</v>
      </c>
      <c r="F428" s="18">
        <f>69700+1000</f>
        <v>70700</v>
      </c>
      <c r="N428" s="21"/>
      <c r="O428" s="22"/>
    </row>
    <row r="429" spans="1:15" s="10" customFormat="1" x14ac:dyDescent="0.25">
      <c r="A429" s="16">
        <v>127</v>
      </c>
      <c r="B429" s="16">
        <v>18</v>
      </c>
      <c r="C429" s="16" t="s">
        <v>0</v>
      </c>
      <c r="D429" s="16" t="s">
        <v>85</v>
      </c>
      <c r="E429" s="17">
        <v>5</v>
      </c>
      <c r="F429" s="18">
        <f>68700+3000+1000</f>
        <v>72700</v>
      </c>
      <c r="N429" s="21"/>
      <c r="O429" s="22"/>
    </row>
    <row r="430" spans="1:15" s="10" customFormat="1" x14ac:dyDescent="0.25">
      <c r="A430" s="16">
        <v>127</v>
      </c>
      <c r="B430" s="16">
        <v>18</v>
      </c>
      <c r="C430" s="16" t="s">
        <v>5</v>
      </c>
      <c r="D430" s="16" t="s">
        <v>85</v>
      </c>
      <c r="E430" s="17">
        <v>5</v>
      </c>
      <c r="F430" s="18">
        <v>82700</v>
      </c>
      <c r="N430" s="21"/>
      <c r="O430" s="22"/>
    </row>
    <row r="431" spans="1:15" s="10" customFormat="1" x14ac:dyDescent="0.25">
      <c r="A431" s="16">
        <v>127</v>
      </c>
      <c r="B431" s="16">
        <v>18</v>
      </c>
      <c r="C431" s="16" t="s">
        <v>7</v>
      </c>
      <c r="D431" s="16" t="s">
        <v>85</v>
      </c>
      <c r="E431" s="17">
        <v>5</v>
      </c>
      <c r="F431" s="18">
        <f>81700+1000</f>
        <v>82700</v>
      </c>
      <c r="N431" s="21"/>
      <c r="O431" s="22"/>
    </row>
    <row r="432" spans="1:15" s="10" customFormat="1" x14ac:dyDescent="0.25">
      <c r="A432" s="16">
        <v>127</v>
      </c>
      <c r="B432" s="16">
        <v>20</v>
      </c>
      <c r="C432" s="16">
        <v>20</v>
      </c>
      <c r="D432" s="16" t="s">
        <v>2</v>
      </c>
      <c r="E432" s="17">
        <f>0.656-0.328-0.215+0.001</f>
        <v>0.11400000000000002</v>
      </c>
      <c r="F432" s="18">
        <f>65700+3000+1000</f>
        <v>69700</v>
      </c>
      <c r="N432" s="21"/>
      <c r="O432" s="22"/>
    </row>
    <row r="433" spans="1:15" s="10" customFormat="1" x14ac:dyDescent="0.25">
      <c r="A433" s="16">
        <v>127</v>
      </c>
      <c r="B433" s="16">
        <v>20</v>
      </c>
      <c r="C433" s="16">
        <v>20</v>
      </c>
      <c r="D433" s="16" t="s">
        <v>85</v>
      </c>
      <c r="E433" s="17">
        <v>5</v>
      </c>
      <c r="F433" s="18">
        <f>68700+1000</f>
        <v>69700</v>
      </c>
      <c r="N433" s="21"/>
      <c r="O433" s="22"/>
    </row>
    <row r="434" spans="1:15" s="10" customFormat="1" x14ac:dyDescent="0.25">
      <c r="A434" s="16">
        <v>127</v>
      </c>
      <c r="B434" s="16">
        <v>20</v>
      </c>
      <c r="C434" s="16">
        <v>45</v>
      </c>
      <c r="D434" s="16" t="s">
        <v>85</v>
      </c>
      <c r="E434" s="17">
        <f>5.055-0.655-0.31</f>
        <v>4.09</v>
      </c>
      <c r="F434" s="18">
        <f>69700+1000</f>
        <v>70700</v>
      </c>
      <c r="N434" s="21"/>
      <c r="O434" s="22"/>
    </row>
    <row r="435" spans="1:15" s="10" customFormat="1" x14ac:dyDescent="0.25">
      <c r="A435" s="16">
        <v>127</v>
      </c>
      <c r="B435" s="16">
        <v>20</v>
      </c>
      <c r="C435" s="16" t="s">
        <v>5</v>
      </c>
      <c r="D435" s="16" t="s">
        <v>85</v>
      </c>
      <c r="E435" s="17">
        <v>5.1449999999999996</v>
      </c>
      <c r="F435" s="18">
        <f>81700+1000</f>
        <v>82700</v>
      </c>
      <c r="N435" s="21"/>
      <c r="O435" s="22"/>
    </row>
    <row r="436" spans="1:15" s="10" customFormat="1" x14ac:dyDescent="0.25">
      <c r="A436" s="16">
        <v>127</v>
      </c>
      <c r="B436" s="16">
        <v>22</v>
      </c>
      <c r="C436" s="16" t="s">
        <v>0</v>
      </c>
      <c r="D436" s="16" t="s">
        <v>2</v>
      </c>
      <c r="E436" s="17">
        <f>5.276-0.356-0.119</f>
        <v>4.8010000000000002</v>
      </c>
      <c r="F436" s="18">
        <f>68700+3000+1000</f>
        <v>72700</v>
      </c>
      <c r="N436" s="21"/>
      <c r="O436" s="22"/>
    </row>
    <row r="437" spans="1:15" s="10" customFormat="1" x14ac:dyDescent="0.25">
      <c r="A437" s="16">
        <v>127</v>
      </c>
      <c r="B437" s="16">
        <v>22</v>
      </c>
      <c r="C437" s="16" t="s">
        <v>0</v>
      </c>
      <c r="D437" s="16" t="s">
        <v>2</v>
      </c>
      <c r="E437" s="17">
        <v>8.2479999999999993</v>
      </c>
      <c r="F437" s="18">
        <v>72700</v>
      </c>
      <c r="N437" s="21"/>
      <c r="O437" s="22"/>
    </row>
    <row r="438" spans="1:15" s="10" customFormat="1" x14ac:dyDescent="0.25">
      <c r="A438" s="16">
        <v>127</v>
      </c>
      <c r="B438" s="16">
        <v>22</v>
      </c>
      <c r="C438" s="16" t="s">
        <v>7</v>
      </c>
      <c r="D438" s="16" t="s">
        <v>85</v>
      </c>
      <c r="E438" s="17">
        <v>5</v>
      </c>
      <c r="F438" s="18">
        <f>81700+1000</f>
        <v>82700</v>
      </c>
      <c r="N438" s="21"/>
      <c r="O438" s="22"/>
    </row>
    <row r="439" spans="1:15" s="10" customFormat="1" x14ac:dyDescent="0.25">
      <c r="A439" s="16">
        <v>127</v>
      </c>
      <c r="B439" s="16">
        <v>25</v>
      </c>
      <c r="C439" s="16">
        <v>20</v>
      </c>
      <c r="D439" s="16" t="s">
        <v>85</v>
      </c>
      <c r="E439" s="17">
        <f>5.302-0.07-0.662</f>
        <v>4.5699999999999994</v>
      </c>
      <c r="F439" s="18">
        <f>68700+1000</f>
        <v>69700</v>
      </c>
      <c r="N439" s="21"/>
      <c r="O439" s="22"/>
    </row>
    <row r="440" spans="1:15" s="10" customFormat="1" x14ac:dyDescent="0.25">
      <c r="A440" s="16">
        <v>127</v>
      </c>
      <c r="B440" s="16">
        <v>25</v>
      </c>
      <c r="C440" s="16">
        <v>45</v>
      </c>
      <c r="D440" s="16" t="s">
        <v>2</v>
      </c>
      <c r="E440" s="17">
        <v>4.649</v>
      </c>
      <c r="F440" s="18">
        <f>66700+3000+1000</f>
        <v>70700</v>
      </c>
      <c r="N440" s="21"/>
      <c r="O440" s="22"/>
    </row>
    <row r="441" spans="1:15" s="10" customFormat="1" x14ac:dyDescent="0.25">
      <c r="A441" s="16">
        <v>127</v>
      </c>
      <c r="B441" s="16">
        <v>25</v>
      </c>
      <c r="C441" s="16">
        <v>45</v>
      </c>
      <c r="D441" s="16" t="s">
        <v>85</v>
      </c>
      <c r="E441" s="17">
        <v>4.9889999999999999</v>
      </c>
      <c r="F441" s="18">
        <f>69700+1000</f>
        <v>70700</v>
      </c>
      <c r="N441" s="21"/>
      <c r="O441" s="22"/>
    </row>
    <row r="442" spans="1:15" s="10" customFormat="1" x14ac:dyDescent="0.25">
      <c r="A442" s="16">
        <v>127</v>
      </c>
      <c r="B442" s="16">
        <v>25</v>
      </c>
      <c r="C442" s="16" t="s">
        <v>5</v>
      </c>
      <c r="D442" s="16" t="s">
        <v>85</v>
      </c>
      <c r="E442" s="17">
        <v>4.1900000000000004</v>
      </c>
      <c r="F442" s="18">
        <f>81700+1000</f>
        <v>82700</v>
      </c>
      <c r="N442" s="21"/>
      <c r="O442" s="22"/>
    </row>
    <row r="443" spans="1:15" s="10" customFormat="1" x14ac:dyDescent="0.25">
      <c r="A443" s="16">
        <v>127</v>
      </c>
      <c r="B443" s="16">
        <v>28</v>
      </c>
      <c r="C443" s="16" t="s">
        <v>5</v>
      </c>
      <c r="D443" s="16" t="s">
        <v>2</v>
      </c>
      <c r="E443" s="17">
        <f>5.149-2.589-0.729-0.362-0.075</f>
        <v>1.3939999999999999</v>
      </c>
      <c r="F443" s="18">
        <f>78700+3000+1000</f>
        <v>82700</v>
      </c>
      <c r="N443" s="21"/>
      <c r="O443" s="22"/>
    </row>
    <row r="444" spans="1:15" s="10" customFormat="1" x14ac:dyDescent="0.25">
      <c r="A444" s="16">
        <v>127</v>
      </c>
      <c r="B444" s="16">
        <v>28</v>
      </c>
      <c r="C444" s="16" t="s">
        <v>5</v>
      </c>
      <c r="D444" s="16" t="s">
        <v>85</v>
      </c>
      <c r="E444" s="17">
        <v>5</v>
      </c>
      <c r="F444" s="18">
        <v>82700</v>
      </c>
      <c r="N444" s="21"/>
      <c r="O444" s="22"/>
    </row>
    <row r="445" spans="1:15" s="10" customFormat="1" x14ac:dyDescent="0.25">
      <c r="A445" s="16">
        <v>127</v>
      </c>
      <c r="B445" s="16">
        <v>28</v>
      </c>
      <c r="C445" s="16" t="s">
        <v>7</v>
      </c>
      <c r="D445" s="16" t="s">
        <v>85</v>
      </c>
      <c r="E445" s="17">
        <v>5</v>
      </c>
      <c r="F445" s="18">
        <f>81700+1000</f>
        <v>82700</v>
      </c>
      <c r="N445" s="21"/>
      <c r="O445" s="22"/>
    </row>
    <row r="446" spans="1:15" s="10" customFormat="1" x14ac:dyDescent="0.25">
      <c r="A446" s="16">
        <v>127</v>
      </c>
      <c r="B446" s="16">
        <v>30</v>
      </c>
      <c r="C446" s="16">
        <v>20</v>
      </c>
      <c r="D446" s="16" t="s">
        <v>85</v>
      </c>
      <c r="E446" s="17">
        <f>4.666-0.482-0.951-0.043-0.476</f>
        <v>2.714</v>
      </c>
      <c r="F446" s="18">
        <f>68700+1000</f>
        <v>69700</v>
      </c>
      <c r="N446" s="21"/>
      <c r="O446" s="22"/>
    </row>
    <row r="447" spans="1:15" s="10" customFormat="1" x14ac:dyDescent="0.25">
      <c r="A447" s="16">
        <v>127</v>
      </c>
      <c r="B447" s="16">
        <v>30</v>
      </c>
      <c r="C447" s="16" t="s">
        <v>0</v>
      </c>
      <c r="D447" s="16" t="s">
        <v>2</v>
      </c>
      <c r="E447" s="17">
        <f>4.878-1.08</f>
        <v>3.798</v>
      </c>
      <c r="F447" s="18">
        <f>68700+3000+1000</f>
        <v>72700</v>
      </c>
      <c r="N447" s="21"/>
      <c r="O447" s="22"/>
    </row>
    <row r="448" spans="1:15" s="10" customFormat="1" x14ac:dyDescent="0.25">
      <c r="A448" s="16">
        <v>127</v>
      </c>
      <c r="B448" s="16">
        <v>30</v>
      </c>
      <c r="C448" s="16" t="s">
        <v>5</v>
      </c>
      <c r="D448" s="16" t="s">
        <v>85</v>
      </c>
      <c r="E448" s="17">
        <v>5</v>
      </c>
      <c r="F448" s="18">
        <f>81700+1000</f>
        <v>82700</v>
      </c>
      <c r="N448" s="21"/>
      <c r="O448" s="22"/>
    </row>
    <row r="449" spans="1:15" s="10" customFormat="1" x14ac:dyDescent="0.25">
      <c r="A449" s="16">
        <v>127</v>
      </c>
      <c r="B449" s="16">
        <v>30</v>
      </c>
      <c r="C449" s="16" t="s">
        <v>7</v>
      </c>
      <c r="D449" s="16" t="s">
        <v>2</v>
      </c>
      <c r="E449" s="17">
        <v>1.0109999999999999</v>
      </c>
      <c r="F449" s="18">
        <f>78700+3000+1000</f>
        <v>82700</v>
      </c>
      <c r="N449" s="21"/>
      <c r="O449" s="22"/>
    </row>
    <row r="450" spans="1:15" s="10" customFormat="1" x14ac:dyDescent="0.25">
      <c r="A450" s="16">
        <v>127</v>
      </c>
      <c r="B450" s="16">
        <v>30</v>
      </c>
      <c r="C450" s="16" t="s">
        <v>7</v>
      </c>
      <c r="D450" s="16" t="s">
        <v>2</v>
      </c>
      <c r="E450" s="17">
        <v>4.4269999999999996</v>
      </c>
      <c r="F450" s="18">
        <f>78700+3000+1000</f>
        <v>82700</v>
      </c>
      <c r="N450" s="21"/>
      <c r="O450" s="22"/>
    </row>
    <row r="451" spans="1:15" s="10" customFormat="1" x14ac:dyDescent="0.25">
      <c r="A451" s="16">
        <v>129</v>
      </c>
      <c r="B451" s="16">
        <v>18</v>
      </c>
      <c r="C451" s="16" t="s">
        <v>98</v>
      </c>
      <c r="D451" s="16" t="s">
        <v>99</v>
      </c>
      <c r="E451" s="17">
        <v>3.9350000000000001</v>
      </c>
      <c r="F451" s="18">
        <v>85700</v>
      </c>
      <c r="N451" s="21"/>
      <c r="O451" s="22"/>
    </row>
    <row r="452" spans="1:15" s="10" customFormat="1" x14ac:dyDescent="0.25">
      <c r="A452" s="16">
        <v>133</v>
      </c>
      <c r="B452" s="16">
        <v>5</v>
      </c>
      <c r="C452" s="16">
        <v>20</v>
      </c>
      <c r="D452" s="16" t="s">
        <v>2</v>
      </c>
      <c r="E452" s="17">
        <f>0.74-0.033</f>
        <v>0.70699999999999996</v>
      </c>
      <c r="F452" s="18">
        <f>65700+3000+1000</f>
        <v>69700</v>
      </c>
      <c r="N452" s="21"/>
      <c r="O452" s="22"/>
    </row>
    <row r="453" spans="1:15" s="10" customFormat="1" x14ac:dyDescent="0.25">
      <c r="A453" s="16">
        <v>133</v>
      </c>
      <c r="B453" s="16">
        <v>6</v>
      </c>
      <c r="C453" s="16" t="s">
        <v>7</v>
      </c>
      <c r="D453" s="16" t="s">
        <v>2</v>
      </c>
      <c r="E453" s="17">
        <f>2.792-1.061-1.22-0.168</f>
        <v>0.34299999999999986</v>
      </c>
      <c r="F453" s="18">
        <f>78700+3000+1000</f>
        <v>82700</v>
      </c>
      <c r="N453" s="21"/>
      <c r="O453" s="22"/>
    </row>
    <row r="454" spans="1:15" s="10" customFormat="1" x14ac:dyDescent="0.25">
      <c r="A454" s="16">
        <v>133</v>
      </c>
      <c r="B454" s="16">
        <v>6</v>
      </c>
      <c r="C454" s="16" t="s">
        <v>7</v>
      </c>
      <c r="D454" s="16" t="s">
        <v>85</v>
      </c>
      <c r="E454" s="17">
        <v>5</v>
      </c>
      <c r="F454" s="18">
        <f>81700+1000</f>
        <v>82700</v>
      </c>
      <c r="N454" s="21"/>
      <c r="O454" s="22"/>
    </row>
    <row r="455" spans="1:15" s="10" customFormat="1" x14ac:dyDescent="0.25">
      <c r="A455" s="16">
        <v>133</v>
      </c>
      <c r="B455" s="16">
        <v>10</v>
      </c>
      <c r="C455" s="16">
        <v>20</v>
      </c>
      <c r="D455" s="16" t="s">
        <v>2</v>
      </c>
      <c r="E455" s="17">
        <f>4.972-0.032-0.032-0.358-0.038-0.253-1.065-0.716-0.094-0.353-0.02-0.063-0.062-0.114-0.016</f>
        <v>1.7560000000000004</v>
      </c>
      <c r="F455" s="18">
        <f>65700+3000+1000</f>
        <v>69700</v>
      </c>
      <c r="N455" s="21"/>
      <c r="O455" s="22"/>
    </row>
    <row r="456" spans="1:15" s="10" customFormat="1" x14ac:dyDescent="0.25">
      <c r="A456" s="16">
        <v>133</v>
      </c>
      <c r="B456" s="16">
        <v>12</v>
      </c>
      <c r="C456" s="16">
        <v>20</v>
      </c>
      <c r="D456" s="16" t="s">
        <v>85</v>
      </c>
      <c r="E456" s="17">
        <v>5</v>
      </c>
      <c r="F456" s="18">
        <f>68700+1000</f>
        <v>69700</v>
      </c>
      <c r="N456" s="21"/>
      <c r="O456" s="22"/>
    </row>
    <row r="457" spans="1:15" s="10" customFormat="1" x14ac:dyDescent="0.25">
      <c r="A457" s="16">
        <v>133</v>
      </c>
      <c r="B457" s="16">
        <v>13</v>
      </c>
      <c r="C457" s="16" t="s">
        <v>3</v>
      </c>
      <c r="D457" s="16" t="s">
        <v>4</v>
      </c>
      <c r="E457" s="17">
        <f>3.93-0.235-0.458-0.235-0.438-0.463-0.466-0.46</f>
        <v>1.175</v>
      </c>
      <c r="F457" s="18">
        <v>157700</v>
      </c>
      <c r="N457" s="21"/>
      <c r="O457" s="22"/>
    </row>
    <row r="458" spans="1:15" s="10" customFormat="1" x14ac:dyDescent="0.25">
      <c r="A458" s="16">
        <v>133</v>
      </c>
      <c r="B458" s="16">
        <v>14</v>
      </c>
      <c r="C458" s="16">
        <v>20</v>
      </c>
      <c r="D458" s="16" t="s">
        <v>85</v>
      </c>
      <c r="E458" s="17">
        <v>5.173</v>
      </c>
      <c r="F458" s="18">
        <f>68700+1000</f>
        <v>69700</v>
      </c>
      <c r="N458" s="21"/>
      <c r="O458" s="22"/>
    </row>
    <row r="459" spans="1:15" s="10" customFormat="1" x14ac:dyDescent="0.25">
      <c r="A459" s="16">
        <v>133</v>
      </c>
      <c r="B459" s="16">
        <v>14</v>
      </c>
      <c r="C459" s="16" t="s">
        <v>0</v>
      </c>
      <c r="D459" s="16" t="s">
        <v>2</v>
      </c>
      <c r="E459" s="17">
        <f>6.2-0.583-2.978-0.59-0.085-0.201-0.128-0.571-0.585-0.171</f>
        <v>0.30799999999999983</v>
      </c>
      <c r="F459" s="18">
        <f>68700+3000+1000</f>
        <v>72700</v>
      </c>
      <c r="N459" s="21"/>
      <c r="O459" s="22"/>
    </row>
    <row r="460" spans="1:15" s="10" customFormat="1" x14ac:dyDescent="0.25">
      <c r="A460" s="16">
        <v>133</v>
      </c>
      <c r="B460" s="16">
        <v>14</v>
      </c>
      <c r="C460" s="16" t="s">
        <v>0</v>
      </c>
      <c r="D460" s="16" t="s">
        <v>2</v>
      </c>
      <c r="E460" s="17">
        <v>8.8010000000000002</v>
      </c>
      <c r="F460" s="18">
        <v>72700</v>
      </c>
      <c r="N460" s="21"/>
      <c r="O460" s="22"/>
    </row>
    <row r="461" spans="1:15" s="10" customFormat="1" x14ac:dyDescent="0.25">
      <c r="A461" s="16">
        <v>133</v>
      </c>
      <c r="B461" s="16">
        <v>14</v>
      </c>
      <c r="C461" s="16" t="s">
        <v>0</v>
      </c>
      <c r="D461" s="16" t="s">
        <v>85</v>
      </c>
      <c r="E461" s="17">
        <v>10</v>
      </c>
      <c r="F461" s="18">
        <f>68700+3000+1000</f>
        <v>72700</v>
      </c>
      <c r="N461" s="21"/>
      <c r="O461" s="22"/>
    </row>
    <row r="462" spans="1:15" s="10" customFormat="1" x14ac:dyDescent="0.25">
      <c r="A462" s="16">
        <v>133</v>
      </c>
      <c r="B462" s="16">
        <v>16</v>
      </c>
      <c r="C462" s="16" t="s">
        <v>0</v>
      </c>
      <c r="D462" s="16" t="s">
        <v>85</v>
      </c>
      <c r="E462" s="17">
        <v>5</v>
      </c>
      <c r="F462" s="18">
        <f>68700+3000+1000</f>
        <v>72700</v>
      </c>
      <c r="N462" s="21"/>
      <c r="O462" s="22"/>
    </row>
    <row r="463" spans="1:15" s="10" customFormat="1" x14ac:dyDescent="0.25">
      <c r="A463" s="16">
        <v>133</v>
      </c>
      <c r="B463" s="16">
        <v>16</v>
      </c>
      <c r="C463" s="16" t="s">
        <v>7</v>
      </c>
      <c r="D463" s="16" t="s">
        <v>85</v>
      </c>
      <c r="E463" s="17">
        <v>5</v>
      </c>
      <c r="F463" s="18">
        <f>81700+1000</f>
        <v>82700</v>
      </c>
      <c r="N463" s="21"/>
      <c r="O463" s="22"/>
    </row>
    <row r="464" spans="1:15" s="10" customFormat="1" x14ac:dyDescent="0.25">
      <c r="A464" s="16">
        <v>133</v>
      </c>
      <c r="B464" s="16">
        <v>17</v>
      </c>
      <c r="C464" s="16">
        <v>20</v>
      </c>
      <c r="D464" s="16" t="s">
        <v>2</v>
      </c>
      <c r="E464" s="17">
        <f>0.161-0.024-0.052-0.053+0.002</f>
        <v>3.4000000000000023E-2</v>
      </c>
      <c r="F464" s="18">
        <f>65700+3000+1000</f>
        <v>69700</v>
      </c>
      <c r="N464" s="21"/>
      <c r="O464" s="22"/>
    </row>
    <row r="465" spans="1:15" s="10" customFormat="1" x14ac:dyDescent="0.25">
      <c r="A465" s="16">
        <v>133</v>
      </c>
      <c r="B465" s="16">
        <v>17</v>
      </c>
      <c r="C465" s="16">
        <v>20</v>
      </c>
      <c r="D465" s="16" t="s">
        <v>2</v>
      </c>
      <c r="E465" s="17">
        <f>5.51-0.392-0.388-0.392-0.793-0.2-0.4</f>
        <v>2.944999999999999</v>
      </c>
      <c r="F465" s="18">
        <f>65700+3000+1000</f>
        <v>69700</v>
      </c>
      <c r="N465" s="21"/>
      <c r="O465" s="22"/>
    </row>
    <row r="466" spans="1:15" s="10" customFormat="1" x14ac:dyDescent="0.25">
      <c r="A466" s="16">
        <v>133</v>
      </c>
      <c r="B466" s="16">
        <v>17</v>
      </c>
      <c r="C466" s="16" t="s">
        <v>3</v>
      </c>
      <c r="D466" s="16" t="s">
        <v>4</v>
      </c>
      <c r="E466" s="17">
        <v>9.0210000000000008</v>
      </c>
      <c r="F466" s="18">
        <v>157700</v>
      </c>
      <c r="N466" s="21"/>
      <c r="O466" s="22"/>
    </row>
    <row r="467" spans="1:15" s="10" customFormat="1" x14ac:dyDescent="0.25">
      <c r="A467" s="16">
        <v>133</v>
      </c>
      <c r="B467" s="16">
        <v>17</v>
      </c>
      <c r="C467" s="16" t="s">
        <v>3</v>
      </c>
      <c r="D467" s="16" t="s">
        <v>4</v>
      </c>
      <c r="E467" s="17">
        <v>1</v>
      </c>
      <c r="F467" s="18">
        <v>157700</v>
      </c>
      <c r="N467" s="21"/>
      <c r="O467" s="22"/>
    </row>
    <row r="468" spans="1:15" s="10" customFormat="1" x14ac:dyDescent="0.25">
      <c r="A468" s="16">
        <v>133</v>
      </c>
      <c r="B468" s="16">
        <v>18</v>
      </c>
      <c r="C468" s="16" t="s">
        <v>7</v>
      </c>
      <c r="D468" s="16" t="s">
        <v>2</v>
      </c>
      <c r="E468" s="17">
        <f>0.23-0.019</f>
        <v>0.21100000000000002</v>
      </c>
      <c r="F468" s="18">
        <f>78700+3000+1000</f>
        <v>82700</v>
      </c>
      <c r="N468" s="21"/>
      <c r="O468" s="22"/>
    </row>
    <row r="469" spans="1:15" s="10" customFormat="1" x14ac:dyDescent="0.25">
      <c r="A469" s="16">
        <v>133</v>
      </c>
      <c r="B469" s="16">
        <v>18</v>
      </c>
      <c r="C469" s="16" t="s">
        <v>7</v>
      </c>
      <c r="D469" s="16" t="s">
        <v>2</v>
      </c>
      <c r="E469" s="17">
        <v>5.0339999999999998</v>
      </c>
      <c r="F469" s="18">
        <f>78700+3000+1000</f>
        <v>82700</v>
      </c>
      <c r="N469" s="21"/>
      <c r="O469" s="22"/>
    </row>
    <row r="470" spans="1:15" s="10" customFormat="1" x14ac:dyDescent="0.25">
      <c r="A470" s="16">
        <v>133</v>
      </c>
      <c r="B470" s="16">
        <v>20</v>
      </c>
      <c r="C470" s="16">
        <v>20</v>
      </c>
      <c r="D470" s="16" t="s">
        <v>2</v>
      </c>
      <c r="E470" s="17">
        <f>5.484-0.36</f>
        <v>5.1239999999999997</v>
      </c>
      <c r="F470" s="18">
        <f>68700+1000</f>
        <v>69700</v>
      </c>
      <c r="N470" s="21"/>
      <c r="O470" s="22"/>
    </row>
    <row r="471" spans="1:15" s="10" customFormat="1" x14ac:dyDescent="0.25">
      <c r="A471" s="16">
        <v>133</v>
      </c>
      <c r="B471" s="16">
        <v>20</v>
      </c>
      <c r="C471" s="16">
        <v>45</v>
      </c>
      <c r="D471" s="16" t="s">
        <v>2</v>
      </c>
      <c r="E471" s="17">
        <f>1.93-0.026-0.285</f>
        <v>1.619</v>
      </c>
      <c r="F471" s="18">
        <f>66700+3000+1000</f>
        <v>70700</v>
      </c>
      <c r="N471" s="21"/>
      <c r="O471" s="22"/>
    </row>
    <row r="472" spans="1:15" s="10" customFormat="1" x14ac:dyDescent="0.25">
      <c r="A472" s="16">
        <v>133</v>
      </c>
      <c r="B472" s="16">
        <v>20</v>
      </c>
      <c r="C472" s="16">
        <v>45</v>
      </c>
      <c r="D472" s="16" t="s">
        <v>2</v>
      </c>
      <c r="E472" s="17">
        <v>3.206</v>
      </c>
      <c r="F472" s="18">
        <f>66700+3000+1000</f>
        <v>70700</v>
      </c>
      <c r="N472" s="21"/>
      <c r="O472" s="22"/>
    </row>
    <row r="473" spans="1:15" s="10" customFormat="1" x14ac:dyDescent="0.25">
      <c r="A473" s="16">
        <v>133</v>
      </c>
      <c r="B473" s="16">
        <v>20</v>
      </c>
      <c r="C473" s="16" t="s">
        <v>0</v>
      </c>
      <c r="D473" s="16" t="s">
        <v>85</v>
      </c>
      <c r="E473" s="17">
        <f>4.549-2.191-0.338-0.681-0.342-0.136-0.114-0.193</f>
        <v>0.55400000000000027</v>
      </c>
      <c r="F473" s="18">
        <f>68700+3000+1000</f>
        <v>72700</v>
      </c>
      <c r="N473" s="21"/>
      <c r="O473" s="22"/>
    </row>
    <row r="474" spans="1:15" s="10" customFormat="1" x14ac:dyDescent="0.25">
      <c r="A474" s="16">
        <v>133</v>
      </c>
      <c r="B474" s="16">
        <v>20</v>
      </c>
      <c r="C474" s="16" t="s">
        <v>5</v>
      </c>
      <c r="D474" s="16" t="s">
        <v>85</v>
      </c>
      <c r="E474" s="17">
        <v>5.32</v>
      </c>
      <c r="F474" s="18">
        <v>82700</v>
      </c>
      <c r="N474" s="21"/>
      <c r="O474" s="22"/>
    </row>
    <row r="475" spans="1:15" s="10" customFormat="1" x14ac:dyDescent="0.25">
      <c r="A475" s="16">
        <v>133</v>
      </c>
      <c r="B475" s="16">
        <v>20</v>
      </c>
      <c r="C475" s="16" t="s">
        <v>7</v>
      </c>
      <c r="D475" s="16" t="s">
        <v>2</v>
      </c>
      <c r="E475" s="17">
        <v>5</v>
      </c>
      <c r="F475" s="18">
        <f>78700+3000+1000</f>
        <v>82700</v>
      </c>
      <c r="N475" s="21"/>
      <c r="O475" s="22"/>
    </row>
    <row r="476" spans="1:15" s="10" customFormat="1" x14ac:dyDescent="0.25">
      <c r="A476" s="16">
        <v>133</v>
      </c>
      <c r="B476" s="16">
        <v>22</v>
      </c>
      <c r="C476" s="16">
        <v>35</v>
      </c>
      <c r="D476" s="16" t="s">
        <v>85</v>
      </c>
      <c r="E476" s="17">
        <v>5.4349999999999996</v>
      </c>
      <c r="F476" s="18">
        <f>69700+1000</f>
        <v>70700</v>
      </c>
      <c r="N476" s="21"/>
      <c r="O476" s="22"/>
    </row>
    <row r="477" spans="1:15" s="10" customFormat="1" x14ac:dyDescent="0.25">
      <c r="A477" s="16">
        <v>133</v>
      </c>
      <c r="B477" s="16">
        <v>24</v>
      </c>
      <c r="C477" s="16" t="s">
        <v>0</v>
      </c>
      <c r="D477" s="16" t="s">
        <v>85</v>
      </c>
      <c r="E477" s="17">
        <v>4.63</v>
      </c>
      <c r="F477" s="18">
        <f>68700+3000+1000</f>
        <v>72700</v>
      </c>
      <c r="N477" s="21"/>
      <c r="O477" s="22"/>
    </row>
    <row r="478" spans="1:15" s="10" customFormat="1" x14ac:dyDescent="0.25">
      <c r="A478" s="16">
        <v>133</v>
      </c>
      <c r="B478" s="16">
        <v>24</v>
      </c>
      <c r="C478" s="16" t="s">
        <v>3</v>
      </c>
      <c r="D478" s="16" t="s">
        <v>4</v>
      </c>
      <c r="E478" s="17">
        <f>4.138-1.56-0.426-0.204-0.431-0.432-0.119-0.434</f>
        <v>0.53199999999999981</v>
      </c>
      <c r="F478" s="18">
        <v>157700</v>
      </c>
      <c r="N478" s="21"/>
      <c r="O478" s="22"/>
    </row>
    <row r="479" spans="1:15" s="10" customFormat="1" x14ac:dyDescent="0.25">
      <c r="A479" s="16">
        <v>133</v>
      </c>
      <c r="B479" s="16">
        <v>24</v>
      </c>
      <c r="C479" s="16" t="s">
        <v>3</v>
      </c>
      <c r="D479" s="16" t="s">
        <v>48</v>
      </c>
      <c r="E479" s="17">
        <v>5</v>
      </c>
      <c r="F479" s="18">
        <v>157700</v>
      </c>
      <c r="N479" s="21"/>
      <c r="O479" s="22"/>
    </row>
    <row r="480" spans="1:15" s="10" customFormat="1" x14ac:dyDescent="0.25">
      <c r="A480" s="16">
        <v>133</v>
      </c>
      <c r="B480" s="16">
        <v>25</v>
      </c>
      <c r="C480" s="16">
        <v>20</v>
      </c>
      <c r="D480" s="16" t="s">
        <v>2</v>
      </c>
      <c r="E480" s="17">
        <f>5.407-1.063</f>
        <v>4.3440000000000003</v>
      </c>
      <c r="F480" s="18">
        <f>65700+3000+1000</f>
        <v>69700</v>
      </c>
      <c r="N480" s="21"/>
      <c r="O480" s="22"/>
    </row>
    <row r="481" spans="1:15" s="10" customFormat="1" x14ac:dyDescent="0.25">
      <c r="A481" s="16">
        <v>133</v>
      </c>
      <c r="B481" s="16">
        <v>25</v>
      </c>
      <c r="C481" s="16">
        <v>45</v>
      </c>
      <c r="D481" s="16" t="s">
        <v>85</v>
      </c>
      <c r="E481" s="17">
        <f>5.071-0.47</f>
        <v>4.601</v>
      </c>
      <c r="F481" s="18">
        <f>69700+1000</f>
        <v>70700</v>
      </c>
      <c r="N481" s="21"/>
      <c r="O481" s="22"/>
    </row>
    <row r="482" spans="1:15" s="10" customFormat="1" x14ac:dyDescent="0.25">
      <c r="A482" s="16">
        <v>133</v>
      </c>
      <c r="B482" s="16">
        <v>28</v>
      </c>
      <c r="C482" s="16">
        <v>20</v>
      </c>
      <c r="D482" s="16" t="s">
        <v>2</v>
      </c>
      <c r="E482" s="17">
        <f>5.29-1.123-0.151-0.38</f>
        <v>3.6360000000000001</v>
      </c>
      <c r="F482" s="18">
        <f>65700+3000+1000</f>
        <v>69700</v>
      </c>
      <c r="N482" s="21"/>
      <c r="O482" s="22"/>
    </row>
    <row r="483" spans="1:15" s="10" customFormat="1" x14ac:dyDescent="0.25">
      <c r="A483" s="16">
        <v>133</v>
      </c>
      <c r="B483" s="16">
        <v>28</v>
      </c>
      <c r="C483" s="16">
        <v>35</v>
      </c>
      <c r="D483" s="16" t="s">
        <v>85</v>
      </c>
      <c r="E483" s="17">
        <v>5.48</v>
      </c>
      <c r="F483" s="18">
        <f>69700+1000</f>
        <v>70700</v>
      </c>
      <c r="N483" s="21"/>
      <c r="O483" s="22"/>
    </row>
    <row r="484" spans="1:15" s="10" customFormat="1" x14ac:dyDescent="0.25">
      <c r="A484" s="16">
        <v>133</v>
      </c>
      <c r="B484" s="16">
        <v>28</v>
      </c>
      <c r="C484" s="16">
        <v>45</v>
      </c>
      <c r="D484" s="16" t="s">
        <v>85</v>
      </c>
      <c r="E484" s="17">
        <f>4.991-0.466</f>
        <v>4.5249999999999995</v>
      </c>
      <c r="F484" s="18">
        <f>69700+1000</f>
        <v>70700</v>
      </c>
      <c r="N484" s="21"/>
      <c r="O484" s="22"/>
    </row>
    <row r="485" spans="1:15" s="10" customFormat="1" x14ac:dyDescent="0.25">
      <c r="A485" s="16">
        <v>133</v>
      </c>
      <c r="B485" s="16">
        <v>28</v>
      </c>
      <c r="C485" s="16" t="s">
        <v>0</v>
      </c>
      <c r="D485" s="16" t="s">
        <v>85</v>
      </c>
      <c r="E485" s="17">
        <v>10</v>
      </c>
      <c r="F485" s="18">
        <f>68700+3000+1000</f>
        <v>72700</v>
      </c>
      <c r="N485" s="21"/>
      <c r="O485" s="22"/>
    </row>
    <row r="486" spans="1:15" s="10" customFormat="1" x14ac:dyDescent="0.25">
      <c r="A486" s="16">
        <v>133</v>
      </c>
      <c r="B486" s="16">
        <v>28</v>
      </c>
      <c r="C486" s="16" t="s">
        <v>0</v>
      </c>
      <c r="D486" s="16" t="s">
        <v>2</v>
      </c>
      <c r="E486" s="17">
        <f>3.906-0.336</f>
        <v>3.5700000000000003</v>
      </c>
      <c r="F486" s="18">
        <f>68700+3000+1000</f>
        <v>72700</v>
      </c>
      <c r="N486" s="21"/>
      <c r="O486" s="22"/>
    </row>
    <row r="487" spans="1:15" s="10" customFormat="1" x14ac:dyDescent="0.25">
      <c r="A487" s="16">
        <v>133</v>
      </c>
      <c r="B487" s="16">
        <v>28</v>
      </c>
      <c r="C487" s="16" t="s">
        <v>7</v>
      </c>
      <c r="D487" s="16" t="s">
        <v>85</v>
      </c>
      <c r="E487" s="17">
        <v>10</v>
      </c>
      <c r="F487" s="18">
        <v>82700</v>
      </c>
      <c r="N487" s="21"/>
      <c r="O487" s="22"/>
    </row>
    <row r="488" spans="1:15" s="10" customFormat="1" x14ac:dyDescent="0.25">
      <c r="A488" s="16">
        <v>133</v>
      </c>
      <c r="B488" s="16">
        <v>30</v>
      </c>
      <c r="C488" s="16" t="s">
        <v>3</v>
      </c>
      <c r="D488" s="16" t="s">
        <v>48</v>
      </c>
      <c r="E488" s="17">
        <v>5</v>
      </c>
      <c r="F488" s="18">
        <v>157700</v>
      </c>
      <c r="N488" s="21"/>
      <c r="O488" s="22"/>
    </row>
    <row r="489" spans="1:15" s="10" customFormat="1" x14ac:dyDescent="0.25">
      <c r="A489" s="16">
        <v>133</v>
      </c>
      <c r="B489" s="16">
        <v>30</v>
      </c>
      <c r="C489" s="16" t="s">
        <v>3</v>
      </c>
      <c r="D489" s="16" t="s">
        <v>4</v>
      </c>
      <c r="E489" s="17">
        <f>4.682-2.126-0.856-0.42</f>
        <v>1.2800000000000007</v>
      </c>
      <c r="F489" s="18">
        <v>157700</v>
      </c>
      <c r="N489" s="21"/>
      <c r="O489" s="22"/>
    </row>
    <row r="490" spans="1:15" s="10" customFormat="1" x14ac:dyDescent="0.25">
      <c r="A490" s="16">
        <v>133</v>
      </c>
      <c r="B490" s="16">
        <v>32</v>
      </c>
      <c r="C490" s="16">
        <v>35</v>
      </c>
      <c r="D490" s="16" t="s">
        <v>2</v>
      </c>
      <c r="E490" s="17">
        <f>4.961-0.168-0.384-0.02-0.239</f>
        <v>4.1500000000000004</v>
      </c>
      <c r="F490" s="18">
        <f>66700+3000+1000</f>
        <v>70700</v>
      </c>
      <c r="N490" s="21"/>
      <c r="O490" s="22"/>
    </row>
    <row r="491" spans="1:15" s="10" customFormat="1" x14ac:dyDescent="0.25">
      <c r="A491" s="16">
        <v>133</v>
      </c>
      <c r="B491" s="16">
        <v>32</v>
      </c>
      <c r="C491" s="16" t="s">
        <v>5</v>
      </c>
      <c r="D491" s="16" t="s">
        <v>85</v>
      </c>
      <c r="E491" s="17">
        <f>5.552-1.165</f>
        <v>4.3869999999999996</v>
      </c>
      <c r="F491" s="18">
        <f>81700+1000</f>
        <v>82700</v>
      </c>
      <c r="N491" s="21"/>
      <c r="O491" s="22"/>
    </row>
    <row r="492" spans="1:15" s="10" customFormat="1" x14ac:dyDescent="0.25">
      <c r="A492" s="16">
        <v>133</v>
      </c>
      <c r="B492" s="16">
        <v>32</v>
      </c>
      <c r="C492" s="16" t="s">
        <v>102</v>
      </c>
      <c r="D492" s="16" t="s">
        <v>2</v>
      </c>
      <c r="E492" s="17">
        <v>6</v>
      </c>
      <c r="F492" s="18">
        <v>200000</v>
      </c>
      <c r="N492" s="21"/>
      <c r="O492" s="22"/>
    </row>
    <row r="493" spans="1:15" s="10" customFormat="1" x14ac:dyDescent="0.25">
      <c r="A493" s="16">
        <v>133</v>
      </c>
      <c r="B493" s="16">
        <v>35</v>
      </c>
      <c r="C493" s="16">
        <v>20</v>
      </c>
      <c r="D493" s="16" t="s">
        <v>2</v>
      </c>
      <c r="E493" s="17">
        <f>1.985-0.088-0.072-0.38</f>
        <v>1.4449999999999998</v>
      </c>
      <c r="F493" s="18">
        <f>65700+3000+1000</f>
        <v>69700</v>
      </c>
      <c r="N493" s="21"/>
      <c r="O493" s="22"/>
    </row>
    <row r="494" spans="1:15" s="10" customFormat="1" x14ac:dyDescent="0.25">
      <c r="A494" s="16">
        <v>133</v>
      </c>
      <c r="B494" s="16">
        <v>36</v>
      </c>
      <c r="C494" s="16">
        <v>20</v>
      </c>
      <c r="D494" s="16" t="s">
        <v>2</v>
      </c>
      <c r="E494" s="17">
        <f>0.948-0.46-0.18</f>
        <v>0.30799999999999994</v>
      </c>
      <c r="F494" s="18">
        <f>65700+3000+1000</f>
        <v>69700</v>
      </c>
      <c r="N494" s="21"/>
      <c r="O494" s="22"/>
    </row>
    <row r="495" spans="1:15" s="10" customFormat="1" x14ac:dyDescent="0.25">
      <c r="A495" s="16">
        <v>133</v>
      </c>
      <c r="B495" s="16">
        <v>36</v>
      </c>
      <c r="C495" s="16">
        <v>20</v>
      </c>
      <c r="D495" s="16" t="s">
        <v>2</v>
      </c>
      <c r="E495" s="17">
        <v>4.7549999999999999</v>
      </c>
      <c r="F495" s="18">
        <f>68700+1000</f>
        <v>69700</v>
      </c>
      <c r="N495" s="21"/>
      <c r="O495" s="22"/>
    </row>
    <row r="496" spans="1:15" s="10" customFormat="1" x14ac:dyDescent="0.25">
      <c r="A496" s="16">
        <v>140</v>
      </c>
      <c r="B496" s="16">
        <v>7</v>
      </c>
      <c r="C496" s="16" t="s">
        <v>0</v>
      </c>
      <c r="D496" s="16" t="s">
        <v>2</v>
      </c>
      <c r="E496" s="17">
        <f>5.211-0.036-1.093-2.042-0.226-0.688</f>
        <v>1.126000000000001</v>
      </c>
      <c r="F496" s="18">
        <f t="shared" ref="F496:F500" si="2">68700+3000+1000</f>
        <v>72700</v>
      </c>
      <c r="N496" s="21"/>
      <c r="O496" s="22"/>
    </row>
    <row r="497" spans="1:15" s="10" customFormat="1" x14ac:dyDescent="0.25">
      <c r="A497" s="16">
        <v>140</v>
      </c>
      <c r="B497" s="16">
        <v>7</v>
      </c>
      <c r="C497" s="16" t="s">
        <v>0</v>
      </c>
      <c r="D497" s="16" t="s">
        <v>2</v>
      </c>
      <c r="E497" s="17">
        <f>4.782-0.383-0.198-0.015-0.432-0.104-0.12-0.094-0.028-1.48</f>
        <v>1.9279999999999999</v>
      </c>
      <c r="F497" s="18">
        <f t="shared" si="2"/>
        <v>72700</v>
      </c>
      <c r="N497" s="21"/>
      <c r="O497" s="22"/>
    </row>
    <row r="498" spans="1:15" s="10" customFormat="1" x14ac:dyDescent="0.25">
      <c r="A498" s="16">
        <v>140</v>
      </c>
      <c r="B498" s="16">
        <v>10</v>
      </c>
      <c r="C498" s="16" t="s">
        <v>0</v>
      </c>
      <c r="D498" s="16" t="s">
        <v>2</v>
      </c>
      <c r="E498" s="17">
        <v>0.54</v>
      </c>
      <c r="F498" s="18">
        <f t="shared" si="2"/>
        <v>72700</v>
      </c>
      <c r="N498" s="21"/>
      <c r="O498" s="22"/>
    </row>
    <row r="499" spans="1:15" s="10" customFormat="1" x14ac:dyDescent="0.25">
      <c r="A499" s="16">
        <v>140</v>
      </c>
      <c r="B499" s="16">
        <v>10</v>
      </c>
      <c r="C499" s="16" t="s">
        <v>0</v>
      </c>
      <c r="D499" s="16" t="s">
        <v>2</v>
      </c>
      <c r="E499" s="17">
        <f>4.26-0.29-0.132-0.034-0.639-0.025</f>
        <v>3.14</v>
      </c>
      <c r="F499" s="18">
        <f t="shared" si="2"/>
        <v>72700</v>
      </c>
      <c r="N499" s="21"/>
      <c r="O499" s="22"/>
    </row>
    <row r="500" spans="1:15" s="10" customFormat="1" x14ac:dyDescent="0.25">
      <c r="A500" s="16">
        <v>140</v>
      </c>
      <c r="B500" s="16">
        <v>12</v>
      </c>
      <c r="C500" s="16" t="s">
        <v>0</v>
      </c>
      <c r="D500" s="16" t="s">
        <v>2</v>
      </c>
      <c r="E500" s="17">
        <f>5.047-0.079-0.04-0.04-0.354-0.201</f>
        <v>4.3330000000000002</v>
      </c>
      <c r="F500" s="18">
        <f t="shared" si="2"/>
        <v>72700</v>
      </c>
      <c r="N500" s="21"/>
      <c r="O500" s="22"/>
    </row>
    <row r="501" spans="1:15" s="10" customFormat="1" x14ac:dyDescent="0.25">
      <c r="A501" s="16">
        <v>140</v>
      </c>
      <c r="B501" s="16">
        <v>13</v>
      </c>
      <c r="C501" s="16" t="s">
        <v>50</v>
      </c>
      <c r="D501" s="16" t="s">
        <v>2</v>
      </c>
      <c r="E501" s="17">
        <f>0.485-0.063</f>
        <v>0.42199999999999999</v>
      </c>
      <c r="F501" s="18">
        <f>65700+3000</f>
        <v>68700</v>
      </c>
      <c r="N501" s="21"/>
      <c r="O501" s="22"/>
    </row>
    <row r="502" spans="1:15" s="10" customFormat="1" x14ac:dyDescent="0.25">
      <c r="A502" s="16">
        <v>140</v>
      </c>
      <c r="B502" s="16">
        <v>14</v>
      </c>
      <c r="C502" s="16">
        <v>35</v>
      </c>
      <c r="D502" s="16" t="s">
        <v>2</v>
      </c>
      <c r="E502" s="17">
        <f>5.252-0.292-0.303-0.556-0.333-0.292-3.211</f>
        <v>0.26500000000000012</v>
      </c>
      <c r="F502" s="18">
        <f>66700+3000+1000</f>
        <v>70700</v>
      </c>
      <c r="N502" s="21"/>
      <c r="O502" s="22"/>
    </row>
    <row r="503" spans="1:15" s="10" customFormat="1" x14ac:dyDescent="0.25">
      <c r="A503" s="16">
        <v>140</v>
      </c>
      <c r="B503" s="16">
        <v>14</v>
      </c>
      <c r="C503" s="16">
        <v>35</v>
      </c>
      <c r="D503" s="16" t="s">
        <v>85</v>
      </c>
      <c r="E503" s="17">
        <v>5</v>
      </c>
      <c r="F503" s="18">
        <v>70700</v>
      </c>
      <c r="N503" s="21"/>
      <c r="O503" s="22"/>
    </row>
    <row r="504" spans="1:15" s="10" customFormat="1" x14ac:dyDescent="0.25">
      <c r="A504" s="16">
        <v>140</v>
      </c>
      <c r="B504" s="16">
        <v>14</v>
      </c>
      <c r="C504" s="16" t="s">
        <v>50</v>
      </c>
      <c r="D504" s="16" t="s">
        <v>2</v>
      </c>
      <c r="E504" s="17">
        <v>0.16300000000000001</v>
      </c>
      <c r="F504" s="18">
        <f t="shared" ref="F504:F506" si="3">65700+3000</f>
        <v>68700</v>
      </c>
      <c r="N504" s="21"/>
      <c r="O504" s="22"/>
    </row>
    <row r="505" spans="1:15" s="10" customFormat="1" x14ac:dyDescent="0.25">
      <c r="A505" s="16">
        <v>140</v>
      </c>
      <c r="B505" s="16">
        <v>14</v>
      </c>
      <c r="C505" s="16" t="s">
        <v>50</v>
      </c>
      <c r="D505" s="16" t="s">
        <v>2</v>
      </c>
      <c r="E505" s="17">
        <v>0.26</v>
      </c>
      <c r="F505" s="18">
        <f t="shared" si="3"/>
        <v>68700</v>
      </c>
      <c r="N505" s="21"/>
      <c r="O505" s="22"/>
    </row>
    <row r="506" spans="1:15" s="10" customFormat="1" x14ac:dyDescent="0.25">
      <c r="A506" s="16">
        <v>140</v>
      </c>
      <c r="B506" s="16">
        <v>15</v>
      </c>
      <c r="C506" s="16" t="s">
        <v>50</v>
      </c>
      <c r="D506" s="16" t="s">
        <v>2</v>
      </c>
      <c r="E506" s="17">
        <v>0.92400000000000004</v>
      </c>
      <c r="F506" s="18">
        <f t="shared" si="3"/>
        <v>68700</v>
      </c>
      <c r="N506" s="21"/>
      <c r="O506" s="22"/>
    </row>
    <row r="507" spans="1:15" s="10" customFormat="1" x14ac:dyDescent="0.25">
      <c r="A507" s="16">
        <v>140</v>
      </c>
      <c r="B507" s="16">
        <v>16</v>
      </c>
      <c r="C507" s="16">
        <v>20</v>
      </c>
      <c r="D507" s="16" t="s">
        <v>2</v>
      </c>
      <c r="E507" s="17">
        <f>5.434-0.076-0.076-3.78-0.278-0.278-0.285-0.121-0.102</f>
        <v>0.43800000000000117</v>
      </c>
      <c r="F507" s="18">
        <f>65700+3000+1000</f>
        <v>69700</v>
      </c>
      <c r="N507" s="21"/>
      <c r="O507" s="22"/>
    </row>
    <row r="508" spans="1:15" s="10" customFormat="1" x14ac:dyDescent="0.25">
      <c r="A508" s="16">
        <v>140</v>
      </c>
      <c r="B508" s="16">
        <v>16</v>
      </c>
      <c r="C508" s="16">
        <v>20</v>
      </c>
      <c r="D508" s="16" t="s">
        <v>85</v>
      </c>
      <c r="E508" s="17">
        <v>3.8860000000000001</v>
      </c>
      <c r="F508" s="18">
        <f>68700+1000</f>
        <v>69700</v>
      </c>
      <c r="N508" s="21"/>
      <c r="O508" s="22"/>
    </row>
    <row r="509" spans="1:15" s="10" customFormat="1" x14ac:dyDescent="0.25">
      <c r="A509" s="16">
        <v>140</v>
      </c>
      <c r="B509" s="16">
        <v>16</v>
      </c>
      <c r="C509" s="16">
        <v>20</v>
      </c>
      <c r="D509" s="16" t="s">
        <v>85</v>
      </c>
      <c r="E509" s="17">
        <v>1.468</v>
      </c>
      <c r="F509" s="18">
        <f>68700+1000</f>
        <v>69700</v>
      </c>
      <c r="N509" s="21"/>
      <c r="O509" s="22"/>
    </row>
    <row r="510" spans="1:15" s="10" customFormat="1" x14ac:dyDescent="0.25">
      <c r="A510" s="16">
        <v>140</v>
      </c>
      <c r="B510" s="16">
        <v>16</v>
      </c>
      <c r="C510" s="16">
        <v>20</v>
      </c>
      <c r="D510" s="16" t="s">
        <v>2</v>
      </c>
      <c r="E510" s="17">
        <v>6.7750000000000004</v>
      </c>
      <c r="F510" s="18">
        <v>69700</v>
      </c>
      <c r="N510" s="21"/>
      <c r="O510" s="22"/>
    </row>
    <row r="511" spans="1:15" s="10" customFormat="1" x14ac:dyDescent="0.25">
      <c r="A511" s="16">
        <v>140</v>
      </c>
      <c r="B511" s="16">
        <v>16</v>
      </c>
      <c r="C511" s="16" t="s">
        <v>0</v>
      </c>
      <c r="D511" s="16" t="s">
        <v>85</v>
      </c>
      <c r="E511" s="17">
        <v>5.173</v>
      </c>
      <c r="F511" s="18">
        <f>68700+3000+1000</f>
        <v>72700</v>
      </c>
      <c r="N511" s="21"/>
      <c r="O511" s="22"/>
    </row>
    <row r="512" spans="1:15" s="10" customFormat="1" x14ac:dyDescent="0.25">
      <c r="A512" s="16">
        <v>140</v>
      </c>
      <c r="B512" s="16">
        <v>20</v>
      </c>
      <c r="C512" s="16">
        <v>20</v>
      </c>
      <c r="D512" s="16" t="s">
        <v>2</v>
      </c>
      <c r="E512" s="17">
        <f>8.58-1.175-0.074-0.389-0.021-0.155-0.123-5.458-1.177+0.011</f>
        <v>1.8999999999999562E-2</v>
      </c>
      <c r="F512" s="18">
        <f>65700+3000+1000</f>
        <v>69700</v>
      </c>
      <c r="N512" s="21"/>
      <c r="O512" s="22"/>
    </row>
    <row r="513" spans="1:15" s="10" customFormat="1" x14ac:dyDescent="0.25">
      <c r="A513" s="16">
        <v>140</v>
      </c>
      <c r="B513" s="16">
        <v>20</v>
      </c>
      <c r="C513" s="16">
        <v>20</v>
      </c>
      <c r="D513" s="16" t="s">
        <v>85</v>
      </c>
      <c r="E513" s="17">
        <f>7.672-1.456-0.15-0.73-0.369-0.366</f>
        <v>4.6009999999999991</v>
      </c>
      <c r="F513" s="18">
        <f>68700+1000</f>
        <v>69700</v>
      </c>
      <c r="N513" s="21"/>
      <c r="O513" s="22"/>
    </row>
    <row r="514" spans="1:15" s="10" customFormat="1" x14ac:dyDescent="0.25">
      <c r="A514" s="16">
        <v>140</v>
      </c>
      <c r="B514" s="16">
        <v>20</v>
      </c>
      <c r="C514" s="16">
        <v>20</v>
      </c>
      <c r="D514" s="16" t="s">
        <v>85</v>
      </c>
      <c r="E514" s="17">
        <f>5.132-0.367</f>
        <v>4.7649999999999997</v>
      </c>
      <c r="F514" s="18">
        <f>68700+1000</f>
        <v>69700</v>
      </c>
      <c r="N514" s="21"/>
      <c r="O514" s="22"/>
    </row>
    <row r="515" spans="1:15" s="10" customFormat="1" x14ac:dyDescent="0.25">
      <c r="A515" s="16">
        <v>140</v>
      </c>
      <c r="B515" s="16">
        <v>20</v>
      </c>
      <c r="C515" s="16">
        <v>20</v>
      </c>
      <c r="D515" s="16" t="s">
        <v>85</v>
      </c>
      <c r="E515" s="17">
        <v>2.5840000000000001</v>
      </c>
      <c r="F515" s="18">
        <f>68700+1000</f>
        <v>69700</v>
      </c>
      <c r="N515" s="21"/>
      <c r="O515" s="22"/>
    </row>
    <row r="516" spans="1:15" s="10" customFormat="1" x14ac:dyDescent="0.25">
      <c r="A516" s="16">
        <v>140</v>
      </c>
      <c r="B516" s="16">
        <v>20</v>
      </c>
      <c r="C516" s="16">
        <v>45</v>
      </c>
      <c r="D516" s="16" t="s">
        <v>2</v>
      </c>
      <c r="E516" s="17">
        <v>3.669</v>
      </c>
      <c r="F516" s="18">
        <f>66700+3000+1000</f>
        <v>70700</v>
      </c>
      <c r="N516" s="21"/>
      <c r="O516" s="22"/>
    </row>
    <row r="517" spans="1:15" s="10" customFormat="1" x14ac:dyDescent="0.25">
      <c r="A517" s="16">
        <v>140</v>
      </c>
      <c r="B517" s="16">
        <v>20</v>
      </c>
      <c r="C517" s="16" t="s">
        <v>5</v>
      </c>
      <c r="D517" s="16" t="s">
        <v>85</v>
      </c>
      <c r="E517" s="17">
        <f>5.345-1.295-3.153+0.001-0.065</f>
        <v>0.83299999999999974</v>
      </c>
      <c r="F517" s="18">
        <f>81700+1000</f>
        <v>82700</v>
      </c>
      <c r="N517" s="21"/>
      <c r="O517" s="22"/>
    </row>
    <row r="518" spans="1:15" s="10" customFormat="1" x14ac:dyDescent="0.25">
      <c r="A518" s="16">
        <v>140</v>
      </c>
      <c r="B518" s="16">
        <v>22</v>
      </c>
      <c r="C518" s="16" t="s">
        <v>0</v>
      </c>
      <c r="D518" s="16" t="s">
        <v>85</v>
      </c>
      <c r="E518" s="17">
        <f>1.684-1.29+0.039</f>
        <v>0.43299999999999988</v>
      </c>
      <c r="F518" s="18">
        <f>68700+3000+1000</f>
        <v>72700</v>
      </c>
      <c r="N518" s="21"/>
      <c r="O518" s="23"/>
    </row>
    <row r="519" spans="1:15" s="10" customFormat="1" x14ac:dyDescent="0.25">
      <c r="A519" s="16">
        <v>140</v>
      </c>
      <c r="B519" s="16">
        <v>22</v>
      </c>
      <c r="C519" s="16" t="s">
        <v>0</v>
      </c>
      <c r="D519" s="16" t="s">
        <v>85</v>
      </c>
      <c r="E519" s="17">
        <f>2.964-0.131</f>
        <v>2.8330000000000002</v>
      </c>
      <c r="F519" s="18">
        <f>68700+3000+1000</f>
        <v>72700</v>
      </c>
      <c r="N519" s="21"/>
      <c r="O519" s="22"/>
    </row>
    <row r="520" spans="1:15" s="10" customFormat="1" x14ac:dyDescent="0.25">
      <c r="A520" s="16">
        <v>140</v>
      </c>
      <c r="B520" s="16">
        <v>22</v>
      </c>
      <c r="C520" s="16" t="s">
        <v>7</v>
      </c>
      <c r="D520" s="16" t="s">
        <v>2</v>
      </c>
      <c r="E520" s="17">
        <v>2</v>
      </c>
      <c r="F520" s="18">
        <f>78700+3000+1000</f>
        <v>82700</v>
      </c>
      <c r="N520" s="21"/>
      <c r="O520" s="22"/>
    </row>
    <row r="521" spans="1:15" s="10" customFormat="1" x14ac:dyDescent="0.25">
      <c r="A521" s="16">
        <v>140</v>
      </c>
      <c r="B521" s="16">
        <v>22</v>
      </c>
      <c r="C521" s="16" t="s">
        <v>7</v>
      </c>
      <c r="D521" s="16" t="s">
        <v>85</v>
      </c>
      <c r="E521" s="17">
        <v>4.83</v>
      </c>
      <c r="F521" s="18">
        <f>81700+1000</f>
        <v>82700</v>
      </c>
      <c r="N521" s="21"/>
      <c r="O521" s="22"/>
    </row>
    <row r="522" spans="1:15" s="10" customFormat="1" x14ac:dyDescent="0.25">
      <c r="A522" s="16">
        <v>140</v>
      </c>
      <c r="B522" s="16">
        <v>25</v>
      </c>
      <c r="C522" s="16">
        <v>20</v>
      </c>
      <c r="D522" s="16" t="s">
        <v>85</v>
      </c>
      <c r="E522" s="17">
        <v>6.0839999999999996</v>
      </c>
      <c r="F522" s="18">
        <f>68700+1000</f>
        <v>69700</v>
      </c>
      <c r="N522" s="21"/>
      <c r="O522" s="22"/>
    </row>
    <row r="523" spans="1:15" s="10" customFormat="1" x14ac:dyDescent="0.25">
      <c r="A523" s="16">
        <v>140</v>
      </c>
      <c r="B523" s="16">
        <v>25</v>
      </c>
      <c r="C523" s="16" t="s">
        <v>5</v>
      </c>
      <c r="D523" s="16" t="s">
        <v>85</v>
      </c>
      <c r="E523" s="17">
        <v>5.468</v>
      </c>
      <c r="F523" s="18">
        <f>81700+1000</f>
        <v>82700</v>
      </c>
      <c r="N523" s="21"/>
      <c r="O523" s="22"/>
    </row>
    <row r="524" spans="1:15" s="10" customFormat="1" x14ac:dyDescent="0.25">
      <c r="A524" s="16">
        <v>140</v>
      </c>
      <c r="B524" s="16">
        <v>25</v>
      </c>
      <c r="C524" s="16" t="s">
        <v>7</v>
      </c>
      <c r="D524" s="16" t="s">
        <v>2</v>
      </c>
      <c r="E524" s="17">
        <v>5.0679999999999996</v>
      </c>
      <c r="F524" s="18">
        <f>78700+3000+1000</f>
        <v>82700</v>
      </c>
      <c r="N524" s="21"/>
      <c r="O524" s="22"/>
    </row>
    <row r="525" spans="1:15" s="10" customFormat="1" x14ac:dyDescent="0.25">
      <c r="A525" s="16">
        <v>140</v>
      </c>
      <c r="B525" s="16">
        <v>30</v>
      </c>
      <c r="C525" s="16">
        <v>20</v>
      </c>
      <c r="D525" s="16" t="s">
        <v>2</v>
      </c>
      <c r="E525" s="17">
        <f>4.87-0.42-1.218-0.024-0.81-0.014-0.093-0.024</f>
        <v>2.2670000000000003</v>
      </c>
      <c r="F525" s="18">
        <f>65700+3000+1000</f>
        <v>69700</v>
      </c>
      <c r="N525" s="21"/>
      <c r="O525" s="22"/>
    </row>
    <row r="526" spans="1:15" s="10" customFormat="1" x14ac:dyDescent="0.25">
      <c r="A526" s="16">
        <v>140</v>
      </c>
      <c r="B526" s="16">
        <v>30</v>
      </c>
      <c r="C526" s="16">
        <v>35</v>
      </c>
      <c r="D526" s="16" t="s">
        <v>2</v>
      </c>
      <c r="E526" s="17">
        <v>1.6140000000000001</v>
      </c>
      <c r="F526" s="18">
        <f>66700+3000+1000</f>
        <v>70700</v>
      </c>
      <c r="N526" s="21"/>
      <c r="O526" s="22"/>
    </row>
    <row r="527" spans="1:15" s="10" customFormat="1" x14ac:dyDescent="0.25">
      <c r="A527" s="16">
        <v>140</v>
      </c>
      <c r="B527" s="16">
        <v>30</v>
      </c>
      <c r="C527" s="16">
        <v>35</v>
      </c>
      <c r="D527" s="16" t="s">
        <v>2</v>
      </c>
      <c r="E527" s="17">
        <f>3.072-0.878-0.439</f>
        <v>1.7549999999999999</v>
      </c>
      <c r="F527" s="18">
        <f>66700+3000+1000</f>
        <v>70700</v>
      </c>
      <c r="N527" s="21"/>
      <c r="O527" s="22"/>
    </row>
    <row r="528" spans="1:15" s="10" customFormat="1" x14ac:dyDescent="0.25">
      <c r="A528" s="16">
        <v>140</v>
      </c>
      <c r="B528" s="16">
        <v>30</v>
      </c>
      <c r="C528" s="16">
        <v>35</v>
      </c>
      <c r="D528" s="16" t="s">
        <v>2</v>
      </c>
      <c r="E528" s="17">
        <v>0.42799999999999999</v>
      </c>
      <c r="F528" s="18">
        <f>66700+3000+1000</f>
        <v>70700</v>
      </c>
      <c r="N528" s="21"/>
      <c r="O528" s="22"/>
    </row>
    <row r="529" spans="1:15" s="10" customFormat="1" x14ac:dyDescent="0.25">
      <c r="A529" s="16">
        <v>140</v>
      </c>
      <c r="B529" s="16">
        <v>30</v>
      </c>
      <c r="C529" s="16">
        <v>35</v>
      </c>
      <c r="D529" s="16" t="s">
        <v>85</v>
      </c>
      <c r="E529" s="17">
        <v>5.5750000000000002</v>
      </c>
      <c r="F529" s="18">
        <f>69700+1000</f>
        <v>70700</v>
      </c>
      <c r="N529" s="21"/>
      <c r="O529" s="22"/>
    </row>
    <row r="530" spans="1:15" s="10" customFormat="1" x14ac:dyDescent="0.25">
      <c r="A530" s="16">
        <v>140</v>
      </c>
      <c r="B530" s="16">
        <v>30</v>
      </c>
      <c r="C530" s="16">
        <v>45</v>
      </c>
      <c r="D530" s="16" t="s">
        <v>85</v>
      </c>
      <c r="E530" s="17">
        <f>3.722-2.114</f>
        <v>1.6080000000000001</v>
      </c>
      <c r="F530" s="18">
        <f>69700+1000</f>
        <v>70700</v>
      </c>
      <c r="N530" s="21"/>
      <c r="O530" s="22"/>
    </row>
    <row r="531" spans="1:15" s="10" customFormat="1" x14ac:dyDescent="0.25">
      <c r="A531" s="16">
        <v>140</v>
      </c>
      <c r="B531" s="16">
        <v>30</v>
      </c>
      <c r="C531" s="16">
        <v>45</v>
      </c>
      <c r="D531" s="16" t="s">
        <v>85</v>
      </c>
      <c r="E531" s="17">
        <v>1.661</v>
      </c>
      <c r="F531" s="18">
        <f>69700+1000</f>
        <v>70700</v>
      </c>
      <c r="N531" s="21"/>
      <c r="O531" s="22"/>
    </row>
    <row r="532" spans="1:15" s="10" customFormat="1" x14ac:dyDescent="0.25">
      <c r="A532" s="16">
        <v>140</v>
      </c>
      <c r="B532" s="16">
        <v>30</v>
      </c>
      <c r="C532" s="16" t="s">
        <v>0</v>
      </c>
      <c r="D532" s="16" t="s">
        <v>85</v>
      </c>
      <c r="E532" s="17">
        <v>5.4749999999999996</v>
      </c>
      <c r="F532" s="18">
        <f>68700+3000+1000</f>
        <v>72700</v>
      </c>
      <c r="N532" s="21"/>
      <c r="O532" s="22"/>
    </row>
    <row r="533" spans="1:15" s="10" customFormat="1" x14ac:dyDescent="0.25">
      <c r="A533" s="16">
        <v>140</v>
      </c>
      <c r="B533" s="16">
        <v>30</v>
      </c>
      <c r="C533" s="16" t="s">
        <v>5</v>
      </c>
      <c r="D533" s="16" t="s">
        <v>85</v>
      </c>
      <c r="E533" s="17">
        <f>4.812-0.571</f>
        <v>4.2410000000000005</v>
      </c>
      <c r="F533" s="18">
        <f>81700+1000</f>
        <v>82700</v>
      </c>
      <c r="N533" s="21"/>
      <c r="O533" s="22"/>
    </row>
    <row r="534" spans="1:15" s="10" customFormat="1" x14ac:dyDescent="0.25">
      <c r="A534" s="16">
        <v>140</v>
      </c>
      <c r="B534" s="16">
        <v>36</v>
      </c>
      <c r="C534" s="16">
        <v>20</v>
      </c>
      <c r="D534" s="16" t="s">
        <v>2</v>
      </c>
      <c r="E534" s="17">
        <v>5</v>
      </c>
      <c r="F534" s="18">
        <f>68700+1000</f>
        <v>69700</v>
      </c>
      <c r="N534" s="21"/>
      <c r="O534" s="22"/>
    </row>
    <row r="535" spans="1:15" s="10" customFormat="1" x14ac:dyDescent="0.25">
      <c r="A535" s="16">
        <v>140</v>
      </c>
      <c r="B535" s="16">
        <v>36</v>
      </c>
      <c r="C535" s="16">
        <v>45</v>
      </c>
      <c r="D535" s="16" t="s">
        <v>2</v>
      </c>
      <c r="E535" s="17">
        <v>4.5049999999999999</v>
      </c>
      <c r="F535" s="18">
        <f>69700+1000</f>
        <v>70700</v>
      </c>
      <c r="N535" s="21"/>
      <c r="O535" s="22"/>
    </row>
    <row r="536" spans="1:15" s="10" customFormat="1" x14ac:dyDescent="0.25">
      <c r="A536" s="16">
        <v>140</v>
      </c>
      <c r="B536" s="16">
        <v>36</v>
      </c>
      <c r="C536" s="16" t="s">
        <v>7</v>
      </c>
      <c r="D536" s="16" t="s">
        <v>2</v>
      </c>
      <c r="E536" s="17">
        <v>5</v>
      </c>
      <c r="F536" s="18">
        <f>81700+1000</f>
        <v>82700</v>
      </c>
      <c r="N536" s="21"/>
      <c r="O536" s="22"/>
    </row>
    <row r="537" spans="1:15" s="10" customFormat="1" x14ac:dyDescent="0.25">
      <c r="A537" s="16">
        <v>140</v>
      </c>
      <c r="B537" s="16">
        <v>37</v>
      </c>
      <c r="C537" s="16" t="s">
        <v>5</v>
      </c>
      <c r="D537" s="16" t="s">
        <v>2</v>
      </c>
      <c r="E537" s="17">
        <v>5</v>
      </c>
      <c r="F537" s="18">
        <f>81700+1000</f>
        <v>82700</v>
      </c>
      <c r="N537" s="21"/>
      <c r="O537" s="22"/>
    </row>
    <row r="538" spans="1:15" s="10" customFormat="1" x14ac:dyDescent="0.25">
      <c r="A538" s="16">
        <v>146</v>
      </c>
      <c r="B538" s="16">
        <v>7</v>
      </c>
      <c r="C538" s="16">
        <v>20</v>
      </c>
      <c r="D538" s="16" t="s">
        <v>2</v>
      </c>
      <c r="E538" s="17">
        <v>9.0999999999999998E-2</v>
      </c>
      <c r="F538" s="18">
        <f>65700+3000+1000</f>
        <v>69700</v>
      </c>
      <c r="N538" s="21"/>
      <c r="O538" s="22"/>
    </row>
    <row r="539" spans="1:15" s="10" customFormat="1" x14ac:dyDescent="0.25">
      <c r="A539" s="16">
        <v>146</v>
      </c>
      <c r="B539" s="16">
        <v>7</v>
      </c>
      <c r="C539" s="16" t="s">
        <v>20</v>
      </c>
      <c r="D539" s="16" t="s">
        <v>108</v>
      </c>
      <c r="E539" s="17">
        <v>3.375</v>
      </c>
      <c r="F539" s="18">
        <v>89700</v>
      </c>
      <c r="N539" s="21"/>
      <c r="O539" s="22"/>
    </row>
    <row r="540" spans="1:15" s="10" customFormat="1" x14ac:dyDescent="0.25">
      <c r="A540" s="16">
        <v>146</v>
      </c>
      <c r="B540" s="16">
        <v>8</v>
      </c>
      <c r="C540" s="16">
        <v>20</v>
      </c>
      <c r="D540" s="16" t="s">
        <v>25</v>
      </c>
      <c r="E540" s="17">
        <v>1.1659999999999999</v>
      </c>
      <c r="F540" s="18">
        <f>45000+1000+3700</f>
        <v>49700</v>
      </c>
      <c r="N540" s="21"/>
      <c r="O540" s="22"/>
    </row>
    <row r="541" spans="1:15" s="10" customFormat="1" x14ac:dyDescent="0.25">
      <c r="A541" s="16">
        <v>146</v>
      </c>
      <c r="B541" s="16">
        <v>8</v>
      </c>
      <c r="C541" s="16">
        <v>20</v>
      </c>
      <c r="D541" s="16" t="s">
        <v>25</v>
      </c>
      <c r="E541" s="17">
        <f>0.251-0.092-0.073+0.001</f>
        <v>8.7000000000000008E-2</v>
      </c>
      <c r="F541" s="18">
        <f>45000+1000+3700</f>
        <v>49700</v>
      </c>
      <c r="N541" s="21"/>
      <c r="O541" s="22"/>
    </row>
    <row r="542" spans="1:15" s="10" customFormat="1" x14ac:dyDescent="0.25">
      <c r="A542" s="16">
        <v>146</v>
      </c>
      <c r="B542" s="16">
        <v>8</v>
      </c>
      <c r="C542" s="16" t="s">
        <v>0</v>
      </c>
      <c r="D542" s="16" t="s">
        <v>85</v>
      </c>
      <c r="E542" s="17">
        <v>5</v>
      </c>
      <c r="F542" s="18">
        <f>68700+3000+1000</f>
        <v>72700</v>
      </c>
      <c r="N542" s="21"/>
      <c r="O542" s="22"/>
    </row>
    <row r="543" spans="1:15" s="10" customFormat="1" x14ac:dyDescent="0.25">
      <c r="A543" s="16">
        <v>146</v>
      </c>
      <c r="B543" s="16">
        <v>12</v>
      </c>
      <c r="C543" s="16" t="s">
        <v>7</v>
      </c>
      <c r="D543" s="16" t="s">
        <v>2</v>
      </c>
      <c r="E543" s="17">
        <f>9.4-0.06-1.362-0.169-4.056</f>
        <v>3.7530000000000001</v>
      </c>
      <c r="F543" s="18">
        <f>78700+3000+1000</f>
        <v>82700</v>
      </c>
      <c r="N543" s="21"/>
      <c r="O543" s="22"/>
    </row>
    <row r="544" spans="1:15" s="10" customFormat="1" x14ac:dyDescent="0.25">
      <c r="A544" s="16">
        <v>146</v>
      </c>
      <c r="B544" s="16">
        <v>12</v>
      </c>
      <c r="C544" s="16" t="s">
        <v>0</v>
      </c>
      <c r="D544" s="16" t="s">
        <v>85</v>
      </c>
      <c r="E544" s="17">
        <v>5.2939999999999996</v>
      </c>
      <c r="F544" s="18">
        <f>68700+3000+1000</f>
        <v>72700</v>
      </c>
      <c r="N544" s="21"/>
      <c r="O544" s="22"/>
    </row>
    <row r="545" spans="1:15" s="10" customFormat="1" x14ac:dyDescent="0.25">
      <c r="A545" s="16">
        <v>146</v>
      </c>
      <c r="B545" s="16">
        <v>14</v>
      </c>
      <c r="C545" s="16" t="s">
        <v>5</v>
      </c>
      <c r="D545" s="16" t="s">
        <v>2</v>
      </c>
      <c r="E545" s="17">
        <f>6.056-0.391-0.128-0.454</f>
        <v>5.0830000000000002</v>
      </c>
      <c r="F545" s="18">
        <f>78700+3000+1000</f>
        <v>82700</v>
      </c>
      <c r="N545" s="21"/>
      <c r="O545" s="22"/>
    </row>
    <row r="546" spans="1:15" s="10" customFormat="1" x14ac:dyDescent="0.25">
      <c r="A546" s="16">
        <v>146</v>
      </c>
      <c r="B546" s="16">
        <v>16</v>
      </c>
      <c r="C546" s="16">
        <v>35</v>
      </c>
      <c r="D546" s="16" t="s">
        <v>2</v>
      </c>
      <c r="E546" s="17">
        <f>0.849-0.159-0.265</f>
        <v>0.42499999999999993</v>
      </c>
      <c r="F546" s="18">
        <f>66700+3000+1000</f>
        <v>70700</v>
      </c>
      <c r="N546" s="21"/>
      <c r="O546" s="22"/>
    </row>
    <row r="547" spans="1:15" s="10" customFormat="1" x14ac:dyDescent="0.25">
      <c r="A547" s="16">
        <v>146</v>
      </c>
      <c r="B547" s="16">
        <v>16</v>
      </c>
      <c r="C547" s="16">
        <v>35</v>
      </c>
      <c r="D547" s="16" t="s">
        <v>2</v>
      </c>
      <c r="E547" s="17">
        <f>3.286-2.961</f>
        <v>0.32500000000000018</v>
      </c>
      <c r="F547" s="18">
        <f>66700+3000+1000</f>
        <v>70700</v>
      </c>
      <c r="N547" s="21"/>
      <c r="O547" s="22"/>
    </row>
    <row r="548" spans="1:15" s="10" customFormat="1" x14ac:dyDescent="0.25">
      <c r="A548" s="16">
        <v>146</v>
      </c>
      <c r="B548" s="16">
        <v>20</v>
      </c>
      <c r="C548" s="16">
        <v>20</v>
      </c>
      <c r="D548" s="16" t="s">
        <v>85</v>
      </c>
      <c r="E548" s="17">
        <f>5.395-3.133-0.127-0.145</f>
        <v>1.9899999999999998</v>
      </c>
      <c r="F548" s="18">
        <f>68700+1000</f>
        <v>69700</v>
      </c>
      <c r="N548" s="21"/>
      <c r="O548" s="22"/>
    </row>
    <row r="549" spans="1:15" s="10" customFormat="1" x14ac:dyDescent="0.25">
      <c r="A549" s="16">
        <v>146</v>
      </c>
      <c r="B549" s="16">
        <v>20</v>
      </c>
      <c r="C549" s="16">
        <v>45</v>
      </c>
      <c r="D549" s="16" t="s">
        <v>85</v>
      </c>
      <c r="E549" s="17">
        <f>5.24-0.114</f>
        <v>5.1260000000000003</v>
      </c>
      <c r="F549" s="18">
        <f>69700+1000</f>
        <v>70700</v>
      </c>
      <c r="N549" s="21"/>
      <c r="O549" s="22"/>
    </row>
    <row r="550" spans="1:15" s="10" customFormat="1" x14ac:dyDescent="0.25">
      <c r="A550" s="16">
        <v>146</v>
      </c>
      <c r="B550" s="16">
        <v>22</v>
      </c>
      <c r="C550" s="16" t="s">
        <v>7</v>
      </c>
      <c r="D550" s="16" t="s">
        <v>85</v>
      </c>
      <c r="E550" s="17">
        <f>5.478-0.44-0.14-0.034-0.269</f>
        <v>4.5949999999999998</v>
      </c>
      <c r="F550" s="18">
        <f>81700+1000</f>
        <v>82700</v>
      </c>
      <c r="N550" s="21"/>
      <c r="O550" s="22"/>
    </row>
    <row r="551" spans="1:15" s="10" customFormat="1" x14ac:dyDescent="0.25">
      <c r="A551" s="16">
        <v>146</v>
      </c>
      <c r="B551" s="16">
        <v>25</v>
      </c>
      <c r="C551" s="16">
        <v>20</v>
      </c>
      <c r="D551" s="16" t="s">
        <v>85</v>
      </c>
      <c r="E551" s="17">
        <v>5.5529999999999999</v>
      </c>
      <c r="F551" s="18">
        <f>68700+1000</f>
        <v>69700</v>
      </c>
      <c r="N551" s="21"/>
      <c r="O551" s="22"/>
    </row>
    <row r="552" spans="1:15" s="10" customFormat="1" x14ac:dyDescent="0.25">
      <c r="A552" s="16">
        <v>146</v>
      </c>
      <c r="B552" s="16">
        <v>25</v>
      </c>
      <c r="C552" s="16">
        <v>45</v>
      </c>
      <c r="D552" s="16" t="s">
        <v>85</v>
      </c>
      <c r="E552" s="17">
        <v>5.3449999999999998</v>
      </c>
      <c r="F552" s="18">
        <f>69700+1000</f>
        <v>70700</v>
      </c>
      <c r="N552" s="21"/>
      <c r="O552" s="22"/>
    </row>
    <row r="553" spans="1:15" s="10" customFormat="1" x14ac:dyDescent="0.25">
      <c r="A553" s="16">
        <v>146</v>
      </c>
      <c r="B553" s="16">
        <v>25</v>
      </c>
      <c r="C553" s="16" t="s">
        <v>7</v>
      </c>
      <c r="D553" s="16" t="s">
        <v>2</v>
      </c>
      <c r="E553" s="17">
        <f>5.097-0.54</f>
        <v>4.5570000000000004</v>
      </c>
      <c r="F553" s="18">
        <f>81700+1000</f>
        <v>82700</v>
      </c>
      <c r="N553" s="21"/>
      <c r="O553" s="22"/>
    </row>
    <row r="554" spans="1:15" s="10" customFormat="1" x14ac:dyDescent="0.25">
      <c r="A554" s="16">
        <v>146</v>
      </c>
      <c r="B554" s="16">
        <v>28</v>
      </c>
      <c r="C554" s="16">
        <v>35</v>
      </c>
      <c r="D554" s="16" t="s">
        <v>2</v>
      </c>
      <c r="E554" s="17">
        <f>5.484-0.464</f>
        <v>5.0199999999999996</v>
      </c>
      <c r="F554" s="18">
        <f>69700+1000</f>
        <v>70700</v>
      </c>
      <c r="N554" s="21"/>
      <c r="O554" s="22"/>
    </row>
    <row r="555" spans="1:15" s="10" customFormat="1" x14ac:dyDescent="0.25">
      <c r="A555" s="16">
        <v>146</v>
      </c>
      <c r="B555" s="16">
        <v>28</v>
      </c>
      <c r="C555" s="16" t="s">
        <v>7</v>
      </c>
      <c r="D555" s="16" t="s">
        <v>85</v>
      </c>
      <c r="E555" s="17">
        <f>5.573-1.891</f>
        <v>3.6820000000000004</v>
      </c>
      <c r="F555" s="18">
        <f>81700+1000</f>
        <v>82700</v>
      </c>
      <c r="N555" s="21"/>
      <c r="O555" s="22"/>
    </row>
    <row r="556" spans="1:15" s="10" customFormat="1" x14ac:dyDescent="0.25">
      <c r="A556" s="16">
        <v>146</v>
      </c>
      <c r="B556" s="16">
        <v>30</v>
      </c>
      <c r="C556" s="16">
        <v>45</v>
      </c>
      <c r="D556" s="16" t="s">
        <v>85</v>
      </c>
      <c r="E556" s="17">
        <v>5.1470000000000002</v>
      </c>
      <c r="F556" s="18">
        <f>69700+1000</f>
        <v>70700</v>
      </c>
      <c r="N556" s="21"/>
      <c r="O556" s="22"/>
    </row>
    <row r="557" spans="1:15" s="10" customFormat="1" x14ac:dyDescent="0.25">
      <c r="A557" s="16">
        <v>146</v>
      </c>
      <c r="B557" s="16">
        <v>32</v>
      </c>
      <c r="C557" s="16">
        <v>20</v>
      </c>
      <c r="D557" s="16" t="s">
        <v>2</v>
      </c>
      <c r="E557" s="17">
        <f>10.94-10.51+0.003-0.019-0.094-0.093</f>
        <v>0.22699999999999973</v>
      </c>
      <c r="F557" s="18">
        <f>65700+3000+1000</f>
        <v>69700</v>
      </c>
      <c r="N557" s="21"/>
      <c r="O557" s="22"/>
    </row>
    <row r="558" spans="1:15" s="10" customFormat="1" x14ac:dyDescent="0.25">
      <c r="A558" s="16">
        <v>146</v>
      </c>
      <c r="B558" s="16">
        <v>32</v>
      </c>
      <c r="C558" s="16">
        <v>20</v>
      </c>
      <c r="D558" s="16" t="s">
        <v>2</v>
      </c>
      <c r="E558" s="17">
        <v>1.81</v>
      </c>
      <c r="F558" s="18">
        <f>65700+3000+1000</f>
        <v>69700</v>
      </c>
      <c r="N558" s="21"/>
      <c r="O558" s="22"/>
    </row>
    <row r="559" spans="1:15" s="10" customFormat="1" x14ac:dyDescent="0.25">
      <c r="A559" s="16">
        <v>146</v>
      </c>
      <c r="B559" s="16">
        <v>32</v>
      </c>
      <c r="C559" s="16">
        <v>45</v>
      </c>
      <c r="D559" s="16" t="s">
        <v>2</v>
      </c>
      <c r="E559" s="17">
        <f>5.038-1.491-0.999</f>
        <v>2.548</v>
      </c>
      <c r="F559" s="18">
        <f>66700+3000+1000</f>
        <v>70700</v>
      </c>
      <c r="N559" s="21"/>
      <c r="O559" s="22"/>
    </row>
    <row r="560" spans="1:15" s="10" customFormat="1" x14ac:dyDescent="0.25">
      <c r="A560" s="16">
        <v>146</v>
      </c>
      <c r="B560" s="16">
        <v>32</v>
      </c>
      <c r="C560" s="16" t="s">
        <v>0</v>
      </c>
      <c r="D560" s="16" t="s">
        <v>2</v>
      </c>
      <c r="E560" s="17">
        <f>5.084-0.456-0.456-0.027-1.855-0.466-0.933</f>
        <v>0.89099999999999868</v>
      </c>
      <c r="F560" s="18">
        <f>68700+3000+1000</f>
        <v>72700</v>
      </c>
      <c r="N560" s="21"/>
      <c r="O560" s="22"/>
    </row>
    <row r="561" spans="1:15" s="10" customFormat="1" x14ac:dyDescent="0.25">
      <c r="A561" s="16">
        <v>146</v>
      </c>
      <c r="B561" s="16">
        <v>32</v>
      </c>
      <c r="C561" s="16" t="s">
        <v>0</v>
      </c>
      <c r="D561" s="16" t="s">
        <v>85</v>
      </c>
      <c r="E561" s="17">
        <v>5</v>
      </c>
      <c r="F561" s="18">
        <v>72700</v>
      </c>
      <c r="N561" s="21"/>
      <c r="O561" s="22"/>
    </row>
    <row r="562" spans="1:15" s="10" customFormat="1" x14ac:dyDescent="0.25">
      <c r="A562" s="16">
        <v>146</v>
      </c>
      <c r="B562" s="16">
        <v>32</v>
      </c>
      <c r="C562" s="16" t="s">
        <v>7</v>
      </c>
      <c r="D562" s="16" t="s">
        <v>2</v>
      </c>
      <c r="E562" s="17">
        <v>5.1319999999999997</v>
      </c>
      <c r="F562" s="18">
        <f>78700+3000+1000</f>
        <v>82700</v>
      </c>
      <c r="N562" s="21"/>
      <c r="O562" s="22"/>
    </row>
    <row r="563" spans="1:15" s="10" customFormat="1" x14ac:dyDescent="0.25">
      <c r="A563" s="16">
        <v>146</v>
      </c>
      <c r="B563" s="16">
        <v>35</v>
      </c>
      <c r="C563" s="16">
        <v>20</v>
      </c>
      <c r="D563" s="16" t="s">
        <v>2</v>
      </c>
      <c r="E563" s="17">
        <v>4.6710000000000003</v>
      </c>
      <c r="F563" s="18">
        <f>65700+3000+1000</f>
        <v>69700</v>
      </c>
      <c r="N563" s="21"/>
      <c r="O563" s="22"/>
    </row>
    <row r="564" spans="1:15" s="10" customFormat="1" x14ac:dyDescent="0.25">
      <c r="A564" s="16">
        <v>146</v>
      </c>
      <c r="B564" s="16">
        <v>35</v>
      </c>
      <c r="C564" s="16">
        <v>20</v>
      </c>
      <c r="D564" s="16" t="s">
        <v>2</v>
      </c>
      <c r="E564" s="17">
        <f>0.415-0.052-0.326+0.002</f>
        <v>3.8999999999999979E-2</v>
      </c>
      <c r="F564" s="18">
        <f>65700+3000+1000</f>
        <v>69700</v>
      </c>
      <c r="N564" s="21"/>
      <c r="O564" s="22"/>
    </row>
    <row r="565" spans="1:15" s="10" customFormat="1" x14ac:dyDescent="0.25">
      <c r="A565" s="16">
        <v>146</v>
      </c>
      <c r="B565" s="16">
        <v>35</v>
      </c>
      <c r="C565" s="16">
        <v>35</v>
      </c>
      <c r="D565" s="16" t="s">
        <v>85</v>
      </c>
      <c r="E565" s="17">
        <v>5.6360000000000001</v>
      </c>
      <c r="F565" s="18">
        <f>69700+1000</f>
        <v>70700</v>
      </c>
      <c r="N565" s="21"/>
      <c r="O565" s="22"/>
    </row>
    <row r="566" spans="1:15" s="10" customFormat="1" x14ac:dyDescent="0.25">
      <c r="A566" s="16">
        <v>146</v>
      </c>
      <c r="B566" s="16">
        <v>35</v>
      </c>
      <c r="C566" s="16">
        <v>45</v>
      </c>
      <c r="D566" s="16" t="s">
        <v>2</v>
      </c>
      <c r="E566" s="17">
        <v>4.8769999999999998</v>
      </c>
      <c r="F566" s="18">
        <f>66700+3000+1000</f>
        <v>70700</v>
      </c>
      <c r="N566" s="21"/>
      <c r="O566" s="22"/>
    </row>
    <row r="567" spans="1:15" s="10" customFormat="1" x14ac:dyDescent="0.25">
      <c r="A567" s="16">
        <v>146</v>
      </c>
      <c r="B567" s="16">
        <v>36</v>
      </c>
      <c r="C567" s="16" t="s">
        <v>7</v>
      </c>
      <c r="D567" s="16" t="s">
        <v>2</v>
      </c>
      <c r="E567" s="17">
        <f>4.999-0.503-0.512</f>
        <v>3.9839999999999995</v>
      </c>
      <c r="F567" s="18">
        <f>78700+3000+1000</f>
        <v>82700</v>
      </c>
      <c r="N567" s="21"/>
      <c r="O567" s="22"/>
    </row>
    <row r="568" spans="1:15" s="10" customFormat="1" x14ac:dyDescent="0.25">
      <c r="A568" s="16">
        <v>146</v>
      </c>
      <c r="B568" s="16">
        <v>36</v>
      </c>
      <c r="C568" s="16" t="s">
        <v>7</v>
      </c>
      <c r="D568" s="16" t="s">
        <v>2</v>
      </c>
      <c r="E568" s="17">
        <v>5.1020000000000003</v>
      </c>
      <c r="F568" s="18">
        <f>78700+3000+1000</f>
        <v>82700</v>
      </c>
      <c r="N568" s="21"/>
      <c r="O568" s="22"/>
    </row>
    <row r="569" spans="1:15" s="10" customFormat="1" x14ac:dyDescent="0.25">
      <c r="A569" s="16">
        <v>152</v>
      </c>
      <c r="B569" s="16">
        <v>8</v>
      </c>
      <c r="C569" s="16" t="s">
        <v>8</v>
      </c>
      <c r="D569" s="16" t="s">
        <v>9</v>
      </c>
      <c r="E569" s="17">
        <v>5</v>
      </c>
      <c r="F569" s="18">
        <v>199700</v>
      </c>
      <c r="N569" s="21"/>
      <c r="O569" s="22"/>
    </row>
    <row r="570" spans="1:15" s="10" customFormat="1" x14ac:dyDescent="0.25">
      <c r="A570" s="16">
        <v>152</v>
      </c>
      <c r="B570" s="16">
        <v>12</v>
      </c>
      <c r="C570" s="16" t="s">
        <v>0</v>
      </c>
      <c r="D570" s="16" t="s">
        <v>2</v>
      </c>
      <c r="E570" s="17">
        <f>3.563-0.084-0.064-0.022-0.45-0.531-0.445+0.007-0.449-0.444-0.198-0.443+0.004</f>
        <v>0.44399999999999978</v>
      </c>
      <c r="F570" s="18">
        <f>68700+3000+1000</f>
        <v>72700</v>
      </c>
      <c r="N570" s="21"/>
      <c r="O570" s="22"/>
    </row>
    <row r="571" spans="1:15" s="10" customFormat="1" x14ac:dyDescent="0.25">
      <c r="A571" s="16">
        <v>152</v>
      </c>
      <c r="B571" s="16">
        <v>12</v>
      </c>
      <c r="C571" s="16" t="s">
        <v>0</v>
      </c>
      <c r="D571" s="16" t="s">
        <v>2</v>
      </c>
      <c r="E571" s="17">
        <f>5.251-0.352-1.037-0.064-0.174-0.362-0.349-0.05-0.044</f>
        <v>2.8190000000000004</v>
      </c>
      <c r="F571" s="18">
        <f>68700+3000+1000</f>
        <v>72700</v>
      </c>
      <c r="N571" s="21"/>
      <c r="O571" s="22"/>
    </row>
    <row r="572" spans="1:15" s="10" customFormat="1" x14ac:dyDescent="0.25">
      <c r="A572" s="16">
        <v>152</v>
      </c>
      <c r="B572" s="16">
        <v>13</v>
      </c>
      <c r="C572" s="16">
        <v>20</v>
      </c>
      <c r="D572" s="16" t="s">
        <v>2</v>
      </c>
      <c r="E572" s="17">
        <v>0.28499999999999998</v>
      </c>
      <c r="F572" s="18">
        <f>65700+3000+1000</f>
        <v>69700</v>
      </c>
      <c r="N572" s="21"/>
      <c r="O572" s="22"/>
    </row>
    <row r="573" spans="1:15" s="10" customFormat="1" x14ac:dyDescent="0.25">
      <c r="A573" s="16">
        <v>152</v>
      </c>
      <c r="B573" s="16">
        <v>13</v>
      </c>
      <c r="C573" s="16" t="s">
        <v>7</v>
      </c>
      <c r="D573" s="16" t="s">
        <v>85</v>
      </c>
      <c r="E573" s="17">
        <v>5.2270000000000003</v>
      </c>
      <c r="F573" s="18">
        <f>81700+1000</f>
        <v>82700</v>
      </c>
      <c r="N573" s="21"/>
      <c r="O573" s="22"/>
    </row>
    <row r="574" spans="1:15" s="10" customFormat="1" x14ac:dyDescent="0.25">
      <c r="A574" s="16">
        <v>152</v>
      </c>
      <c r="B574" s="16">
        <v>14</v>
      </c>
      <c r="C574" s="16">
        <v>20</v>
      </c>
      <c r="D574" s="16" t="s">
        <v>2</v>
      </c>
      <c r="E574" s="17">
        <f>4.884-0.353-0.344</f>
        <v>4.1870000000000003</v>
      </c>
      <c r="F574" s="18">
        <f>65700+3000+1000</f>
        <v>69700</v>
      </c>
      <c r="N574" s="21"/>
      <c r="O574" s="22"/>
    </row>
    <row r="575" spans="1:15" s="10" customFormat="1" x14ac:dyDescent="0.25">
      <c r="A575" s="16">
        <v>152</v>
      </c>
      <c r="B575" s="16">
        <v>14</v>
      </c>
      <c r="C575" s="16" t="s">
        <v>7</v>
      </c>
      <c r="D575" s="16" t="s">
        <v>2</v>
      </c>
      <c r="E575" s="17">
        <f>5.517-5.143</f>
        <v>0.37400000000000055</v>
      </c>
      <c r="F575" s="18">
        <f>78700+3000+1000</f>
        <v>82700</v>
      </c>
      <c r="N575" s="21"/>
      <c r="O575" s="22"/>
    </row>
    <row r="576" spans="1:15" s="10" customFormat="1" x14ac:dyDescent="0.25">
      <c r="A576" s="16">
        <v>152</v>
      </c>
      <c r="B576" s="16">
        <v>14</v>
      </c>
      <c r="C576" s="16" t="s">
        <v>7</v>
      </c>
      <c r="D576" s="16" t="s">
        <v>2</v>
      </c>
      <c r="E576" s="17">
        <f>5.947-0.374-2.982</f>
        <v>2.5910000000000002</v>
      </c>
      <c r="F576" s="18">
        <f>78700+3000+1000</f>
        <v>82700</v>
      </c>
      <c r="N576" s="21"/>
      <c r="O576" s="22"/>
    </row>
    <row r="577" spans="1:15" s="10" customFormat="1" x14ac:dyDescent="0.25">
      <c r="A577" s="16">
        <v>152</v>
      </c>
      <c r="B577" s="16">
        <v>15</v>
      </c>
      <c r="C577" s="16" t="s">
        <v>50</v>
      </c>
      <c r="D577" s="16" t="s">
        <v>2</v>
      </c>
      <c r="E577" s="17">
        <v>0.34</v>
      </c>
      <c r="F577" s="18">
        <f>65700+3000</f>
        <v>68700</v>
      </c>
      <c r="N577" s="21"/>
      <c r="O577" s="22"/>
    </row>
    <row r="578" spans="1:15" s="10" customFormat="1" x14ac:dyDescent="0.25">
      <c r="A578" s="16">
        <v>152</v>
      </c>
      <c r="B578" s="16">
        <v>16</v>
      </c>
      <c r="C578" s="16">
        <v>20</v>
      </c>
      <c r="D578" s="16" t="s">
        <v>2</v>
      </c>
      <c r="E578" s="17">
        <f>1.425-0.058</f>
        <v>1.367</v>
      </c>
      <c r="F578" s="18">
        <f>65700+3000+1000</f>
        <v>69700</v>
      </c>
      <c r="N578" s="21"/>
      <c r="O578" s="22"/>
    </row>
    <row r="579" spans="1:15" s="10" customFormat="1" x14ac:dyDescent="0.25">
      <c r="A579" s="16">
        <v>152</v>
      </c>
      <c r="B579" s="16">
        <v>16</v>
      </c>
      <c r="C579" s="16">
        <v>20</v>
      </c>
      <c r="D579" s="16" t="s">
        <v>2</v>
      </c>
      <c r="E579" s="17">
        <v>0.14199999999999999</v>
      </c>
      <c r="F579" s="18">
        <f>65700+3000+1000</f>
        <v>69700</v>
      </c>
      <c r="N579" s="21"/>
      <c r="O579" s="22"/>
    </row>
    <row r="580" spans="1:15" s="10" customFormat="1" x14ac:dyDescent="0.25">
      <c r="A580" s="16">
        <v>152</v>
      </c>
      <c r="B580" s="16">
        <v>16</v>
      </c>
      <c r="C580" s="16">
        <v>20</v>
      </c>
      <c r="D580" s="16" t="s">
        <v>2</v>
      </c>
      <c r="E580" s="17">
        <v>1.206</v>
      </c>
      <c r="F580" s="18">
        <f>68700+1000</f>
        <v>69700</v>
      </c>
      <c r="N580" s="21"/>
      <c r="O580" s="22"/>
    </row>
    <row r="581" spans="1:15" s="10" customFormat="1" x14ac:dyDescent="0.25">
      <c r="A581" s="16">
        <v>152</v>
      </c>
      <c r="B581" s="16">
        <v>20</v>
      </c>
      <c r="C581" s="16">
        <v>20</v>
      </c>
      <c r="D581" s="16" t="s">
        <v>2</v>
      </c>
      <c r="E581" s="17">
        <f>3.098-0.133-1.908</f>
        <v>1.0569999999999999</v>
      </c>
      <c r="F581" s="18">
        <f>65700+3000+1000</f>
        <v>69700</v>
      </c>
      <c r="N581" s="21"/>
      <c r="O581" s="22"/>
    </row>
    <row r="582" spans="1:15" s="10" customFormat="1" x14ac:dyDescent="0.25">
      <c r="A582" s="16">
        <v>152</v>
      </c>
      <c r="B582" s="16">
        <v>20</v>
      </c>
      <c r="C582" s="16">
        <v>20</v>
      </c>
      <c r="D582" s="16" t="s">
        <v>2</v>
      </c>
      <c r="E582" s="17">
        <v>0.94099999999999995</v>
      </c>
      <c r="F582" s="18">
        <f>65700+3000+1000</f>
        <v>69700</v>
      </c>
      <c r="N582" s="21"/>
      <c r="O582" s="22"/>
    </row>
    <row r="583" spans="1:15" s="10" customFormat="1" x14ac:dyDescent="0.25">
      <c r="A583" s="16">
        <v>152</v>
      </c>
      <c r="B583" s="16">
        <v>20</v>
      </c>
      <c r="C583" s="16">
        <v>20</v>
      </c>
      <c r="D583" s="16" t="s">
        <v>85</v>
      </c>
      <c r="E583" s="17">
        <v>5</v>
      </c>
      <c r="F583" s="18">
        <f>68700+1000</f>
        <v>69700</v>
      </c>
      <c r="N583" s="21"/>
      <c r="O583" s="22"/>
    </row>
    <row r="584" spans="1:15" s="10" customFormat="1" x14ac:dyDescent="0.25">
      <c r="A584" s="16">
        <v>152</v>
      </c>
      <c r="B584" s="16">
        <v>20</v>
      </c>
      <c r="C584" s="16">
        <v>45</v>
      </c>
      <c r="D584" s="16" t="s">
        <v>85</v>
      </c>
      <c r="E584" s="17">
        <v>4.952</v>
      </c>
      <c r="F584" s="18">
        <f>69700+1000</f>
        <v>70700</v>
      </c>
      <c r="N584" s="21"/>
      <c r="O584" s="22"/>
    </row>
    <row r="585" spans="1:15" s="10" customFormat="1" x14ac:dyDescent="0.25">
      <c r="A585" s="16">
        <v>152</v>
      </c>
      <c r="B585" s="16">
        <v>20</v>
      </c>
      <c r="C585" s="16" t="s">
        <v>5</v>
      </c>
      <c r="D585" s="16" t="s">
        <v>85</v>
      </c>
      <c r="E585" s="17">
        <v>10.005000000000001</v>
      </c>
      <c r="F585" s="18">
        <f>81700+1000</f>
        <v>82700</v>
      </c>
      <c r="N585" s="21"/>
      <c r="O585" s="22"/>
    </row>
    <row r="586" spans="1:15" s="10" customFormat="1" x14ac:dyDescent="0.25">
      <c r="A586" s="16">
        <v>152</v>
      </c>
      <c r="B586" s="16">
        <v>25</v>
      </c>
      <c r="C586" s="16">
        <v>20</v>
      </c>
      <c r="D586" s="16" t="s">
        <v>85</v>
      </c>
      <c r="E586" s="17">
        <f>5.076-3.489-0.199-1.07</f>
        <v>0.31799999999999962</v>
      </c>
      <c r="F586" s="18">
        <f>68700+1000</f>
        <v>69700</v>
      </c>
      <c r="N586" s="21"/>
      <c r="O586" s="22"/>
    </row>
    <row r="587" spans="1:15" s="10" customFormat="1" x14ac:dyDescent="0.25">
      <c r="A587" s="16">
        <v>152</v>
      </c>
      <c r="B587" s="16">
        <v>25</v>
      </c>
      <c r="C587" s="16">
        <v>35</v>
      </c>
      <c r="D587" s="16" t="s">
        <v>85</v>
      </c>
      <c r="E587" s="17">
        <f>5.174-0.144</f>
        <v>5.03</v>
      </c>
      <c r="F587" s="18">
        <f>69700+1000</f>
        <v>70700</v>
      </c>
      <c r="N587" s="21"/>
      <c r="O587" s="22"/>
    </row>
    <row r="588" spans="1:15" s="10" customFormat="1" x14ac:dyDescent="0.25">
      <c r="A588" s="16">
        <v>152</v>
      </c>
      <c r="B588" s="16">
        <v>25</v>
      </c>
      <c r="C588" s="16">
        <v>45</v>
      </c>
      <c r="D588" s="16" t="s">
        <v>85</v>
      </c>
      <c r="E588" s="17">
        <v>5.3440000000000003</v>
      </c>
      <c r="F588" s="18">
        <f>69700+1000</f>
        <v>70700</v>
      </c>
      <c r="N588" s="21"/>
      <c r="O588" s="22"/>
    </row>
    <row r="589" spans="1:15" s="10" customFormat="1" x14ac:dyDescent="0.25">
      <c r="A589" s="16">
        <v>152</v>
      </c>
      <c r="B589" s="16">
        <v>25</v>
      </c>
      <c r="C589" s="16" t="s">
        <v>0</v>
      </c>
      <c r="D589" s="16" t="s">
        <v>85</v>
      </c>
      <c r="E589" s="17">
        <f>5.022-0.879-0.473</f>
        <v>3.6700000000000008</v>
      </c>
      <c r="F589" s="18">
        <f>68700+3000+1000</f>
        <v>72700</v>
      </c>
      <c r="N589" s="21"/>
      <c r="O589" s="22"/>
    </row>
    <row r="590" spans="1:15" s="10" customFormat="1" x14ac:dyDescent="0.25">
      <c r="A590" s="16">
        <v>152</v>
      </c>
      <c r="B590" s="16">
        <v>25</v>
      </c>
      <c r="C590" s="16" t="s">
        <v>5</v>
      </c>
      <c r="D590" s="16" t="s">
        <v>85</v>
      </c>
      <c r="E590" s="17">
        <v>5.1070000000000002</v>
      </c>
      <c r="F590" s="18">
        <f>81700+1000</f>
        <v>82700</v>
      </c>
      <c r="N590" s="21"/>
      <c r="O590" s="22"/>
    </row>
    <row r="591" spans="1:15" s="10" customFormat="1" x14ac:dyDescent="0.25">
      <c r="A591" s="16">
        <v>152</v>
      </c>
      <c r="B591" s="16">
        <v>25</v>
      </c>
      <c r="C591" s="16" t="s">
        <v>50</v>
      </c>
      <c r="D591" s="16" t="s">
        <v>2</v>
      </c>
      <c r="E591" s="17">
        <v>0.28899999999999998</v>
      </c>
      <c r="F591" s="18">
        <f>65700+3000</f>
        <v>68700</v>
      </c>
      <c r="N591" s="21"/>
      <c r="O591" s="22"/>
    </row>
    <row r="592" spans="1:15" s="10" customFormat="1" x14ac:dyDescent="0.25">
      <c r="A592" s="16">
        <v>152</v>
      </c>
      <c r="B592" s="16">
        <v>28</v>
      </c>
      <c r="C592" s="16">
        <v>20</v>
      </c>
      <c r="D592" s="16" t="s">
        <v>85</v>
      </c>
      <c r="E592" s="17">
        <f>5.126-0.55-2.861</f>
        <v>1.7150000000000003</v>
      </c>
      <c r="F592" s="18">
        <f>68700+1000</f>
        <v>69700</v>
      </c>
      <c r="N592" s="21"/>
      <c r="O592" s="22"/>
    </row>
    <row r="593" spans="1:15" s="10" customFormat="1" x14ac:dyDescent="0.25">
      <c r="A593" s="16">
        <v>152</v>
      </c>
      <c r="B593" s="16">
        <v>28</v>
      </c>
      <c r="C593" s="16" t="s">
        <v>7</v>
      </c>
      <c r="D593" s="16" t="s">
        <v>2</v>
      </c>
      <c r="E593" s="17">
        <f>5.615-1.07-0.512-1.045+0.003-0.426</f>
        <v>2.5649999999999995</v>
      </c>
      <c r="F593" s="18">
        <f>78700+3000+1000</f>
        <v>82700</v>
      </c>
      <c r="N593" s="21"/>
      <c r="O593" s="22"/>
    </row>
    <row r="594" spans="1:15" s="10" customFormat="1" x14ac:dyDescent="0.25">
      <c r="A594" s="16">
        <v>152</v>
      </c>
      <c r="B594" s="16">
        <v>30</v>
      </c>
      <c r="C594" s="16" t="s">
        <v>0</v>
      </c>
      <c r="D594" s="16" t="s">
        <v>2</v>
      </c>
      <c r="E594" s="17">
        <f>5.089-0.533-1.708-0.043-0.565</f>
        <v>2.2399999999999998</v>
      </c>
      <c r="F594" s="18">
        <f>68700+3000+1000</f>
        <v>72700</v>
      </c>
      <c r="N594" s="21"/>
      <c r="O594" s="22"/>
    </row>
    <row r="595" spans="1:15" s="10" customFormat="1" x14ac:dyDescent="0.25">
      <c r="A595" s="16">
        <v>152</v>
      </c>
      <c r="B595" s="16">
        <v>32</v>
      </c>
      <c r="C595" s="16">
        <v>20</v>
      </c>
      <c r="D595" s="16" t="s">
        <v>2</v>
      </c>
      <c r="E595" s="17">
        <f>4.88-0.963</f>
        <v>3.9169999999999998</v>
      </c>
      <c r="F595" s="18">
        <f>65700+3000+1000</f>
        <v>69700</v>
      </c>
      <c r="N595" s="21"/>
      <c r="O595" s="22"/>
    </row>
    <row r="596" spans="1:15" s="10" customFormat="1" x14ac:dyDescent="0.25">
      <c r="A596" s="16">
        <v>152</v>
      </c>
      <c r="B596" s="16">
        <v>32</v>
      </c>
      <c r="C596" s="16">
        <v>35</v>
      </c>
      <c r="D596" s="16" t="s">
        <v>85</v>
      </c>
      <c r="E596" s="17">
        <v>3.7130000000000001</v>
      </c>
      <c r="F596" s="18">
        <f>69700+1000</f>
        <v>70700</v>
      </c>
      <c r="N596" s="21"/>
      <c r="O596" s="22"/>
    </row>
    <row r="597" spans="1:15" s="10" customFormat="1" x14ac:dyDescent="0.25">
      <c r="A597" s="16">
        <v>152</v>
      </c>
      <c r="B597" s="16">
        <v>32</v>
      </c>
      <c r="C597" s="16">
        <v>35</v>
      </c>
      <c r="D597" s="16" t="s">
        <v>85</v>
      </c>
      <c r="E597" s="17">
        <v>1.3</v>
      </c>
      <c r="F597" s="18">
        <f>69700+1000</f>
        <v>70700</v>
      </c>
      <c r="N597" s="21"/>
      <c r="O597" s="22"/>
    </row>
    <row r="598" spans="1:15" s="10" customFormat="1" x14ac:dyDescent="0.25">
      <c r="A598" s="16">
        <v>152</v>
      </c>
      <c r="B598" s="16">
        <v>32</v>
      </c>
      <c r="C598" s="16">
        <v>45</v>
      </c>
      <c r="D598" s="16" t="s">
        <v>85</v>
      </c>
      <c r="E598" s="17">
        <v>5.1050000000000004</v>
      </c>
      <c r="F598" s="18">
        <f>69700+1000</f>
        <v>70700</v>
      </c>
      <c r="N598" s="21"/>
      <c r="O598" s="22"/>
    </row>
    <row r="599" spans="1:15" s="10" customFormat="1" x14ac:dyDescent="0.25">
      <c r="A599" s="16">
        <v>152</v>
      </c>
      <c r="B599" s="16">
        <v>32</v>
      </c>
      <c r="C599" s="16" t="s">
        <v>7</v>
      </c>
      <c r="D599" s="16" t="s">
        <v>85</v>
      </c>
      <c r="E599" s="17">
        <v>5</v>
      </c>
      <c r="F599" s="18">
        <v>82700</v>
      </c>
      <c r="N599" s="21"/>
      <c r="O599" s="22"/>
    </row>
    <row r="600" spans="1:15" s="10" customFormat="1" x14ac:dyDescent="0.25">
      <c r="A600" s="16">
        <v>152</v>
      </c>
      <c r="B600" s="16">
        <v>36</v>
      </c>
      <c r="C600" s="16">
        <v>20</v>
      </c>
      <c r="D600" s="16" t="s">
        <v>2</v>
      </c>
      <c r="E600" s="17">
        <v>10</v>
      </c>
      <c r="F600" s="18">
        <v>69700</v>
      </c>
      <c r="N600" s="21"/>
      <c r="O600" s="22"/>
    </row>
    <row r="601" spans="1:15" s="10" customFormat="1" x14ac:dyDescent="0.25">
      <c r="A601" s="16">
        <v>152</v>
      </c>
      <c r="B601" s="16">
        <v>32</v>
      </c>
      <c r="C601" s="16" t="s">
        <v>7</v>
      </c>
      <c r="D601" s="16" t="s">
        <v>2</v>
      </c>
      <c r="E601" s="17">
        <f>2.72-0.528-0.092</f>
        <v>2.1</v>
      </c>
      <c r="F601" s="18">
        <f>78700+3000+1000</f>
        <v>82700</v>
      </c>
      <c r="N601" s="21"/>
      <c r="O601" s="22"/>
    </row>
    <row r="602" spans="1:15" s="10" customFormat="1" x14ac:dyDescent="0.25">
      <c r="A602" s="16">
        <v>152</v>
      </c>
      <c r="B602" s="16">
        <v>32</v>
      </c>
      <c r="C602" s="16" t="s">
        <v>7</v>
      </c>
      <c r="D602" s="16" t="s">
        <v>2</v>
      </c>
      <c r="E602" s="17">
        <v>5.1470000000000002</v>
      </c>
      <c r="F602" s="18">
        <f>78700+3000+1000</f>
        <v>82700</v>
      </c>
      <c r="N602" s="21"/>
      <c r="O602" s="22"/>
    </row>
    <row r="603" spans="1:15" s="10" customFormat="1" x14ac:dyDescent="0.25">
      <c r="A603" s="16">
        <v>152</v>
      </c>
      <c r="B603" s="16">
        <v>34</v>
      </c>
      <c r="C603" s="16" t="s">
        <v>5</v>
      </c>
      <c r="D603" s="16" t="s">
        <v>85</v>
      </c>
      <c r="E603" s="17">
        <v>5</v>
      </c>
      <c r="F603" s="18">
        <v>82700</v>
      </c>
      <c r="N603" s="21"/>
      <c r="O603" s="22"/>
    </row>
    <row r="604" spans="1:15" s="10" customFormat="1" x14ac:dyDescent="0.25">
      <c r="A604" s="16">
        <v>159</v>
      </c>
      <c r="B604" s="16">
        <v>5</v>
      </c>
      <c r="C604" s="16">
        <v>20</v>
      </c>
      <c r="D604" s="16" t="s">
        <v>2</v>
      </c>
      <c r="E604" s="17">
        <v>0.8</v>
      </c>
      <c r="F604" s="18">
        <f>68700+1000</f>
        <v>69700</v>
      </c>
      <c r="N604" s="21"/>
      <c r="O604" s="22"/>
    </row>
    <row r="605" spans="1:15" s="10" customFormat="1" x14ac:dyDescent="0.25">
      <c r="A605" s="16">
        <v>159</v>
      </c>
      <c r="B605" s="16">
        <v>5</v>
      </c>
      <c r="C605" s="16">
        <v>20</v>
      </c>
      <c r="D605" s="16" t="s">
        <v>2</v>
      </c>
      <c r="E605" s="17">
        <f>1.86-0.005-0.009</f>
        <v>1.8460000000000003</v>
      </c>
      <c r="F605" s="18">
        <f>68700+1000</f>
        <v>69700</v>
      </c>
      <c r="N605" s="21"/>
      <c r="O605" s="22"/>
    </row>
    <row r="606" spans="1:15" s="10" customFormat="1" x14ac:dyDescent="0.25">
      <c r="A606" s="16">
        <v>159</v>
      </c>
      <c r="B606" s="16">
        <v>5</v>
      </c>
      <c r="C606" s="16" t="s">
        <v>5</v>
      </c>
      <c r="D606" s="16" t="s">
        <v>2</v>
      </c>
      <c r="E606" s="17">
        <v>2.9750000000000001</v>
      </c>
      <c r="F606" s="18">
        <f>78700+3000+1000</f>
        <v>82700</v>
      </c>
      <c r="N606" s="21"/>
      <c r="O606" s="22"/>
    </row>
    <row r="607" spans="1:15" s="10" customFormat="1" x14ac:dyDescent="0.25">
      <c r="A607" s="16">
        <v>159</v>
      </c>
      <c r="B607" s="16">
        <v>6</v>
      </c>
      <c r="C607" s="16" t="s">
        <v>30</v>
      </c>
      <c r="D607" s="16" t="s">
        <v>2</v>
      </c>
      <c r="E607" s="17">
        <v>0.161</v>
      </c>
      <c r="F607" s="18">
        <v>81000</v>
      </c>
      <c r="N607" s="21"/>
      <c r="O607" s="22"/>
    </row>
    <row r="608" spans="1:15" s="10" customFormat="1" x14ac:dyDescent="0.25">
      <c r="A608" s="16">
        <v>159</v>
      </c>
      <c r="B608" s="16">
        <v>6</v>
      </c>
      <c r="C608" s="16" t="s">
        <v>8</v>
      </c>
      <c r="D608" s="16" t="s">
        <v>9</v>
      </c>
      <c r="E608" s="17">
        <v>5</v>
      </c>
      <c r="F608" s="18">
        <v>199700</v>
      </c>
      <c r="N608" s="21"/>
      <c r="O608" s="22"/>
    </row>
    <row r="609" spans="1:15" s="10" customFormat="1" x14ac:dyDescent="0.25">
      <c r="A609" s="16">
        <v>159</v>
      </c>
      <c r="B609" s="16">
        <v>7</v>
      </c>
      <c r="C609" s="16">
        <v>20</v>
      </c>
      <c r="D609" s="16" t="s">
        <v>2</v>
      </c>
      <c r="E609" s="17">
        <f>5.17-0.28-0.297-0.032</f>
        <v>4.5609999999999999</v>
      </c>
      <c r="F609" s="18">
        <f>68700+1000</f>
        <v>69700</v>
      </c>
      <c r="N609" s="21"/>
      <c r="O609" s="22"/>
    </row>
    <row r="610" spans="1:15" s="10" customFormat="1" x14ac:dyDescent="0.25">
      <c r="A610" s="16">
        <v>159</v>
      </c>
      <c r="B610" s="16">
        <v>8</v>
      </c>
      <c r="C610" s="16">
        <v>20</v>
      </c>
      <c r="D610" s="16" t="s">
        <v>2</v>
      </c>
      <c r="E610" s="17">
        <v>4.3449999999999998</v>
      </c>
      <c r="F610" s="18">
        <v>69700</v>
      </c>
      <c r="N610" s="21"/>
      <c r="O610" s="22"/>
    </row>
    <row r="611" spans="1:15" s="10" customFormat="1" x14ac:dyDescent="0.25">
      <c r="A611" s="16">
        <v>159</v>
      </c>
      <c r="B611" s="16">
        <v>8</v>
      </c>
      <c r="C611" s="16" t="s">
        <v>8</v>
      </c>
      <c r="D611" s="16" t="s">
        <v>9</v>
      </c>
      <c r="E611" s="17">
        <v>0.23499999999999999</v>
      </c>
      <c r="F611" s="18">
        <v>199700</v>
      </c>
      <c r="N611" s="21"/>
      <c r="O611" s="22"/>
    </row>
    <row r="612" spans="1:15" s="10" customFormat="1" x14ac:dyDescent="0.25">
      <c r="A612" s="16">
        <v>159</v>
      </c>
      <c r="B612" s="16">
        <v>8</v>
      </c>
      <c r="C612" s="16" t="s">
        <v>8</v>
      </c>
      <c r="D612" s="16" t="s">
        <v>9</v>
      </c>
      <c r="E612" s="17">
        <v>5.0549999999999997</v>
      </c>
      <c r="F612" s="18">
        <v>199700</v>
      </c>
      <c r="N612" s="21"/>
      <c r="O612" s="22"/>
    </row>
    <row r="613" spans="1:15" s="10" customFormat="1" x14ac:dyDescent="0.25">
      <c r="A613" s="16">
        <v>159</v>
      </c>
      <c r="B613" s="16">
        <v>10</v>
      </c>
      <c r="C613" s="16" t="s">
        <v>0</v>
      </c>
      <c r="D613" s="16" t="s">
        <v>2</v>
      </c>
      <c r="E613" s="17">
        <f>5.116-0.102-0.063-0.076-0.124-0.021-0.073-0.025-0.128-1.403-0.382-0.35-0.039-0.077-0.077-0.297-0.36-0.065</f>
        <v>1.4539999999999993</v>
      </c>
      <c r="F613" s="18">
        <f>68700+3000+1000</f>
        <v>72700</v>
      </c>
      <c r="N613" s="21"/>
      <c r="O613" s="22"/>
    </row>
    <row r="614" spans="1:15" s="10" customFormat="1" x14ac:dyDescent="0.25">
      <c r="A614" s="16">
        <v>159</v>
      </c>
      <c r="B614" s="16">
        <v>12</v>
      </c>
      <c r="C614" s="16">
        <v>20</v>
      </c>
      <c r="D614" s="16" t="s">
        <v>2</v>
      </c>
      <c r="E614" s="17">
        <f>0.402-0.024-0.133-0.068-0.014</f>
        <v>0.16299999999999998</v>
      </c>
      <c r="F614" s="18">
        <f>68700+1000</f>
        <v>69700</v>
      </c>
      <c r="N614" s="21"/>
      <c r="O614" s="22"/>
    </row>
    <row r="615" spans="1:15" s="10" customFormat="1" x14ac:dyDescent="0.25">
      <c r="A615" s="16">
        <v>159</v>
      </c>
      <c r="B615" s="16">
        <v>12</v>
      </c>
      <c r="C615" s="16" t="s">
        <v>0</v>
      </c>
      <c r="D615" s="16" t="s">
        <v>85</v>
      </c>
      <c r="E615" s="17">
        <v>5.1150000000000002</v>
      </c>
      <c r="F615" s="18">
        <f>68700+3000+1000</f>
        <v>72700</v>
      </c>
      <c r="N615" s="21"/>
      <c r="O615" s="22"/>
    </row>
    <row r="616" spans="1:15" s="10" customFormat="1" x14ac:dyDescent="0.25">
      <c r="A616" s="16">
        <v>159</v>
      </c>
      <c r="B616" s="16">
        <v>14</v>
      </c>
      <c r="C616" s="16" t="s">
        <v>0</v>
      </c>
      <c r="D616" s="16" t="s">
        <v>2</v>
      </c>
      <c r="E616" s="17">
        <f>1.201-0.034-0.432-0.394</f>
        <v>0.34100000000000008</v>
      </c>
      <c r="F616" s="18">
        <f>68700+3000+1000</f>
        <v>72700</v>
      </c>
      <c r="N616" s="21"/>
      <c r="O616" s="22"/>
    </row>
    <row r="617" spans="1:15" s="10" customFormat="1" x14ac:dyDescent="0.25">
      <c r="A617" s="16">
        <v>159</v>
      </c>
      <c r="B617" s="16">
        <v>14</v>
      </c>
      <c r="C617" s="16" t="s">
        <v>0</v>
      </c>
      <c r="D617" s="16" t="s">
        <v>2</v>
      </c>
      <c r="E617" s="17">
        <f>4.018-0.319-0.103-0.049-0.315-0.628-0.306</f>
        <v>2.2979999999999996</v>
      </c>
      <c r="F617" s="18">
        <f>68700+3000+1000</f>
        <v>72700</v>
      </c>
      <c r="N617" s="21"/>
      <c r="O617" s="22"/>
    </row>
    <row r="618" spans="1:15" s="10" customFormat="1" x14ac:dyDescent="0.25">
      <c r="A618" s="16">
        <v>159</v>
      </c>
      <c r="B618" s="16">
        <v>16</v>
      </c>
      <c r="C618" s="16">
        <v>20</v>
      </c>
      <c r="D618" s="16" t="s">
        <v>85</v>
      </c>
      <c r="E618" s="17">
        <v>5.34</v>
      </c>
      <c r="F618" s="18">
        <f>68700+1000</f>
        <v>69700</v>
      </c>
      <c r="N618" s="21"/>
      <c r="O618" s="22"/>
    </row>
    <row r="619" spans="1:15" s="10" customFormat="1" x14ac:dyDescent="0.25">
      <c r="A619" s="16">
        <v>159</v>
      </c>
      <c r="B619" s="16">
        <v>16</v>
      </c>
      <c r="C619" s="16">
        <v>20</v>
      </c>
      <c r="D619" s="16" t="s">
        <v>85</v>
      </c>
      <c r="E619" s="17">
        <v>5</v>
      </c>
      <c r="F619" s="18">
        <f>68700+1000</f>
        <v>69700</v>
      </c>
      <c r="N619" s="21"/>
      <c r="O619" s="22"/>
    </row>
    <row r="620" spans="1:15" s="10" customFormat="1" x14ac:dyDescent="0.25">
      <c r="A620" s="16">
        <v>159</v>
      </c>
      <c r="B620" s="16">
        <v>20</v>
      </c>
      <c r="C620" s="16">
        <v>20</v>
      </c>
      <c r="D620" s="16" t="s">
        <v>85</v>
      </c>
      <c r="E620" s="17">
        <v>10.375999999999999</v>
      </c>
      <c r="F620" s="18">
        <f>68700+1000</f>
        <v>69700</v>
      </c>
      <c r="N620" s="21"/>
      <c r="O620" s="22"/>
    </row>
    <row r="621" spans="1:15" s="10" customFormat="1" x14ac:dyDescent="0.25">
      <c r="A621" s="16">
        <v>159</v>
      </c>
      <c r="B621" s="16">
        <v>20</v>
      </c>
      <c r="C621" s="16">
        <v>35</v>
      </c>
      <c r="D621" s="16" t="s">
        <v>2</v>
      </c>
      <c r="E621" s="17">
        <f>5.011-1.759-0.32-0.341-0.32-0.458</f>
        <v>1.8130000000000004</v>
      </c>
      <c r="F621" s="18">
        <f>66700+3000+1000</f>
        <v>70700</v>
      </c>
      <c r="N621" s="21"/>
      <c r="O621" s="22"/>
    </row>
    <row r="622" spans="1:15" s="10" customFormat="1" x14ac:dyDescent="0.25">
      <c r="A622" s="16">
        <v>159</v>
      </c>
      <c r="B622" s="16">
        <v>20</v>
      </c>
      <c r="C622" s="16">
        <v>45</v>
      </c>
      <c r="D622" s="16" t="s">
        <v>85</v>
      </c>
      <c r="E622" s="17">
        <v>2.6139999999999999</v>
      </c>
      <c r="F622" s="18">
        <f>69700+1000</f>
        <v>70700</v>
      </c>
      <c r="N622" s="21"/>
      <c r="O622" s="22"/>
    </row>
    <row r="623" spans="1:15" s="10" customFormat="1" x14ac:dyDescent="0.25">
      <c r="A623" s="16">
        <v>159</v>
      </c>
      <c r="B623" s="16">
        <v>20</v>
      </c>
      <c r="C623" s="16">
        <v>45</v>
      </c>
      <c r="D623" s="16" t="s">
        <v>85</v>
      </c>
      <c r="E623" s="17">
        <v>2.6280000000000001</v>
      </c>
      <c r="F623" s="18">
        <f>69700+1000</f>
        <v>70700</v>
      </c>
      <c r="N623" s="21"/>
      <c r="O623" s="22"/>
    </row>
    <row r="624" spans="1:15" s="10" customFormat="1" x14ac:dyDescent="0.25">
      <c r="A624" s="16">
        <v>159</v>
      </c>
      <c r="B624" s="16">
        <v>20</v>
      </c>
      <c r="C624" s="16" t="s">
        <v>5</v>
      </c>
      <c r="D624" s="16" t="s">
        <v>85</v>
      </c>
      <c r="E624" s="17">
        <v>4.9729999999999999</v>
      </c>
      <c r="F624" s="18">
        <v>82700</v>
      </c>
      <c r="N624" s="21"/>
      <c r="O624" s="22"/>
    </row>
    <row r="625" spans="1:15" s="10" customFormat="1" x14ac:dyDescent="0.25">
      <c r="A625" s="16">
        <v>159</v>
      </c>
      <c r="B625" s="16">
        <v>20</v>
      </c>
      <c r="C625" s="16" t="s">
        <v>3</v>
      </c>
      <c r="D625" s="16" t="s">
        <v>4</v>
      </c>
      <c r="E625" s="17">
        <v>4.8470000000000004</v>
      </c>
      <c r="F625" s="18">
        <v>157700</v>
      </c>
      <c r="N625" s="21"/>
      <c r="O625" s="22"/>
    </row>
    <row r="626" spans="1:15" s="10" customFormat="1" x14ac:dyDescent="0.25">
      <c r="A626" s="16">
        <v>159</v>
      </c>
      <c r="B626" s="16">
        <v>22</v>
      </c>
      <c r="C626" s="16" t="s">
        <v>0</v>
      </c>
      <c r="D626" s="16" t="s">
        <v>2</v>
      </c>
      <c r="E626" s="17">
        <f>1.459-0.155-0.298-0.034-0.683-0.23+0.007</f>
        <v>6.599999999999992E-2</v>
      </c>
      <c r="F626" s="18">
        <f>68700+3000+1000</f>
        <v>72700</v>
      </c>
      <c r="N626" s="21"/>
      <c r="O626" s="22"/>
    </row>
    <row r="627" spans="1:15" s="10" customFormat="1" x14ac:dyDescent="0.25">
      <c r="A627" s="16">
        <v>159</v>
      </c>
      <c r="B627" s="16">
        <v>22</v>
      </c>
      <c r="C627" s="16" t="s">
        <v>0</v>
      </c>
      <c r="D627" s="16" t="s">
        <v>2</v>
      </c>
      <c r="E627" s="17">
        <f>24.473-0.153-0.157-1.606-0.078</f>
        <v>22.478999999999999</v>
      </c>
      <c r="F627" s="18">
        <f>68700+3000+1000</f>
        <v>72700</v>
      </c>
      <c r="N627" s="21"/>
      <c r="O627" s="22"/>
    </row>
    <row r="628" spans="1:15" s="10" customFormat="1" x14ac:dyDescent="0.25">
      <c r="A628" s="16">
        <v>159</v>
      </c>
      <c r="B628" s="16">
        <v>24</v>
      </c>
      <c r="C628" s="16">
        <v>20</v>
      </c>
      <c r="D628" s="16" t="s">
        <v>2</v>
      </c>
      <c r="E628" s="17">
        <v>3.1</v>
      </c>
      <c r="F628" s="18">
        <v>69700</v>
      </c>
      <c r="N628" s="21"/>
      <c r="O628" s="22"/>
    </row>
    <row r="629" spans="1:15" s="10" customFormat="1" x14ac:dyDescent="0.25">
      <c r="A629" s="16">
        <v>159</v>
      </c>
      <c r="B629" s="16">
        <v>24</v>
      </c>
      <c r="C629" s="16">
        <v>20</v>
      </c>
      <c r="D629" s="16" t="s">
        <v>2</v>
      </c>
      <c r="E629" s="17">
        <v>4.3769999999999998</v>
      </c>
      <c r="F629" s="18">
        <v>69700</v>
      </c>
      <c r="N629" s="21"/>
      <c r="O629" s="22"/>
    </row>
    <row r="630" spans="1:15" s="10" customFormat="1" x14ac:dyDescent="0.25">
      <c r="A630" s="16">
        <v>159</v>
      </c>
      <c r="B630" s="16">
        <v>25</v>
      </c>
      <c r="C630" s="16">
        <v>20</v>
      </c>
      <c r="D630" s="16" t="s">
        <v>2</v>
      </c>
      <c r="E630" s="17">
        <f>5.45-0.613-0.609-0.063-0.087-0.615-0.457-0.595+0.009-0.603-0.115-0.103-0.257-0.138-0.049</f>
        <v>1.1550000000000007</v>
      </c>
      <c r="F630" s="18">
        <f>65700+3000+1000</f>
        <v>69700</v>
      </c>
      <c r="N630" s="21"/>
      <c r="O630" s="22"/>
    </row>
    <row r="631" spans="1:15" s="10" customFormat="1" x14ac:dyDescent="0.25">
      <c r="A631" s="16">
        <v>159</v>
      </c>
      <c r="B631" s="16">
        <v>25</v>
      </c>
      <c r="C631" s="16">
        <v>45</v>
      </c>
      <c r="D631" s="16" t="s">
        <v>85</v>
      </c>
      <c r="E631" s="17">
        <v>5.34</v>
      </c>
      <c r="F631" s="18">
        <f>69700+1000</f>
        <v>70700</v>
      </c>
      <c r="N631" s="21"/>
      <c r="O631" s="22"/>
    </row>
    <row r="632" spans="1:15" s="10" customFormat="1" x14ac:dyDescent="0.25">
      <c r="A632" s="16">
        <v>159</v>
      </c>
      <c r="B632" s="16">
        <v>25</v>
      </c>
      <c r="C632" s="16" t="s">
        <v>0</v>
      </c>
      <c r="D632" s="16" t="s">
        <v>2</v>
      </c>
      <c r="E632" s="17">
        <f>3.351-2.229</f>
        <v>1.1219999999999999</v>
      </c>
      <c r="F632" s="18">
        <f>68700+3000+1000</f>
        <v>72700</v>
      </c>
      <c r="N632" s="21"/>
      <c r="O632" s="22"/>
    </row>
    <row r="633" spans="1:15" s="10" customFormat="1" x14ac:dyDescent="0.25">
      <c r="A633" s="16">
        <v>159</v>
      </c>
      <c r="B633" s="16">
        <v>25</v>
      </c>
      <c r="C633" s="16" t="s">
        <v>0</v>
      </c>
      <c r="D633" s="16" t="s">
        <v>2</v>
      </c>
      <c r="E633" s="17">
        <f>1.593-0.091-0.173</f>
        <v>1.329</v>
      </c>
      <c r="F633" s="18">
        <f>68700+3000+1000</f>
        <v>72700</v>
      </c>
      <c r="N633" s="21"/>
      <c r="O633" s="22"/>
    </row>
    <row r="634" spans="1:15" s="10" customFormat="1" x14ac:dyDescent="0.25">
      <c r="A634" s="16">
        <v>159</v>
      </c>
      <c r="B634" s="16">
        <v>25</v>
      </c>
      <c r="C634" s="16" t="s">
        <v>0</v>
      </c>
      <c r="D634" s="16" t="s">
        <v>2</v>
      </c>
      <c r="E634" s="17">
        <f>3.63-3.101</f>
        <v>0.52899999999999991</v>
      </c>
      <c r="F634" s="18">
        <f>68700+3000+1000</f>
        <v>72700</v>
      </c>
      <c r="N634" s="21"/>
      <c r="O634" s="22"/>
    </row>
    <row r="635" spans="1:15" s="10" customFormat="1" x14ac:dyDescent="0.25">
      <c r="A635" s="16">
        <v>159</v>
      </c>
      <c r="B635" s="16">
        <v>25</v>
      </c>
      <c r="C635" s="16" t="s">
        <v>5</v>
      </c>
      <c r="D635" s="16" t="s">
        <v>2</v>
      </c>
      <c r="E635" s="17">
        <f>5.715-0.747-1.038-0.985-0.487-0.094</f>
        <v>2.3639999999999999</v>
      </c>
      <c r="F635" s="18">
        <f>78700+3000+1000</f>
        <v>82700</v>
      </c>
      <c r="N635" s="21"/>
      <c r="O635" s="22"/>
    </row>
    <row r="636" spans="1:15" s="10" customFormat="1" x14ac:dyDescent="0.25">
      <c r="A636" s="16">
        <v>159</v>
      </c>
      <c r="B636" s="16">
        <v>25</v>
      </c>
      <c r="C636" s="16" t="s">
        <v>5</v>
      </c>
      <c r="D636" s="16" t="s">
        <v>85</v>
      </c>
      <c r="E636" s="17">
        <v>5</v>
      </c>
      <c r="F636" s="18">
        <v>82700</v>
      </c>
      <c r="N636" s="21"/>
      <c r="O636" s="22"/>
    </row>
    <row r="637" spans="1:15" s="10" customFormat="1" x14ac:dyDescent="0.25">
      <c r="A637" s="16">
        <v>159</v>
      </c>
      <c r="B637" s="16">
        <v>25</v>
      </c>
      <c r="C637" s="16" t="s">
        <v>7</v>
      </c>
      <c r="D637" s="16" t="s">
        <v>2</v>
      </c>
      <c r="E637" s="17">
        <f>3.73-1.867+0.005-0.145-0.625-0.124</f>
        <v>0.97399999999999987</v>
      </c>
      <c r="F637" s="18">
        <f>78700+3000+1000</f>
        <v>82700</v>
      </c>
      <c r="N637" s="21"/>
      <c r="O637" s="22"/>
    </row>
    <row r="638" spans="1:15" s="10" customFormat="1" x14ac:dyDescent="0.25">
      <c r="A638" s="16">
        <v>159</v>
      </c>
      <c r="B638" s="16">
        <v>25</v>
      </c>
      <c r="C638" s="16" t="s">
        <v>7</v>
      </c>
      <c r="D638" s="16" t="s">
        <v>2</v>
      </c>
      <c r="E638" s="17">
        <v>5.15</v>
      </c>
      <c r="F638" s="18">
        <f>78700+3000+1000</f>
        <v>82700</v>
      </c>
      <c r="N638" s="21"/>
      <c r="O638" s="22"/>
    </row>
    <row r="639" spans="1:15" s="10" customFormat="1" x14ac:dyDescent="0.25">
      <c r="A639" s="16">
        <v>159</v>
      </c>
      <c r="B639" s="16">
        <v>26</v>
      </c>
      <c r="C639" s="16" t="s">
        <v>3</v>
      </c>
      <c r="D639" s="16" t="s">
        <v>4</v>
      </c>
      <c r="E639" s="17">
        <v>3.4870000000000001</v>
      </c>
      <c r="F639" s="18">
        <v>157700</v>
      </c>
      <c r="N639" s="21"/>
      <c r="O639" s="22"/>
    </row>
    <row r="640" spans="1:15" s="10" customFormat="1" x14ac:dyDescent="0.25">
      <c r="A640" s="16">
        <v>159</v>
      </c>
      <c r="B640" s="16">
        <v>28</v>
      </c>
      <c r="C640" s="16">
        <v>20</v>
      </c>
      <c r="D640" s="16" t="s">
        <v>2</v>
      </c>
      <c r="E640" s="17">
        <f>3.427-0.131-0.432-0.027</f>
        <v>2.8370000000000002</v>
      </c>
      <c r="F640" s="18">
        <f>65700+3000+1000</f>
        <v>69700</v>
      </c>
      <c r="N640" s="21"/>
      <c r="O640" s="22"/>
    </row>
    <row r="641" spans="1:15" s="10" customFormat="1" x14ac:dyDescent="0.25">
      <c r="A641" s="16">
        <v>159</v>
      </c>
      <c r="B641" s="16">
        <v>28</v>
      </c>
      <c r="C641" s="16">
        <v>20</v>
      </c>
      <c r="D641" s="16" t="s">
        <v>2</v>
      </c>
      <c r="E641" s="17">
        <v>1.415</v>
      </c>
      <c r="F641" s="18">
        <f>65700+3000+1000</f>
        <v>69700</v>
      </c>
      <c r="N641" s="21"/>
      <c r="O641" s="22"/>
    </row>
    <row r="642" spans="1:15" s="10" customFormat="1" x14ac:dyDescent="0.25">
      <c r="A642" s="16">
        <v>159</v>
      </c>
      <c r="B642" s="16">
        <v>28</v>
      </c>
      <c r="C642" s="16">
        <v>35</v>
      </c>
      <c r="D642" s="16" t="s">
        <v>85</v>
      </c>
      <c r="E642" s="17">
        <v>4.6070000000000002</v>
      </c>
      <c r="F642" s="18">
        <f>69700+1000</f>
        <v>70700</v>
      </c>
      <c r="N642" s="21"/>
      <c r="O642" s="22"/>
    </row>
    <row r="643" spans="1:15" s="10" customFormat="1" x14ac:dyDescent="0.25">
      <c r="A643" s="16">
        <v>159</v>
      </c>
      <c r="B643" s="16">
        <v>28</v>
      </c>
      <c r="C643" s="16">
        <v>45</v>
      </c>
      <c r="D643" s="16" t="s">
        <v>2</v>
      </c>
      <c r="E643" s="17">
        <f>4.933-1.083-2.219-0.55-0.168-0.559+0.005-0.095-0.095</f>
        <v>0.16899999999999968</v>
      </c>
      <c r="F643" s="18">
        <f>66700+3000+1000</f>
        <v>70700</v>
      </c>
      <c r="N643" s="21"/>
      <c r="O643" s="22"/>
    </row>
    <row r="644" spans="1:15" s="10" customFormat="1" x14ac:dyDescent="0.25">
      <c r="A644" s="16">
        <v>159</v>
      </c>
      <c r="B644" s="16">
        <v>28</v>
      </c>
      <c r="C644" s="16">
        <v>45</v>
      </c>
      <c r="D644" s="16" t="s">
        <v>85</v>
      </c>
      <c r="E644" s="17">
        <v>5.3819999999999997</v>
      </c>
      <c r="F644" s="18">
        <f>69700+1000</f>
        <v>70700</v>
      </c>
      <c r="N644" s="21"/>
      <c r="O644" s="22"/>
    </row>
    <row r="645" spans="1:15" s="10" customFormat="1" x14ac:dyDescent="0.25">
      <c r="A645" s="16">
        <v>159</v>
      </c>
      <c r="B645" s="16">
        <v>28</v>
      </c>
      <c r="C645" s="16" t="s">
        <v>5</v>
      </c>
      <c r="D645" s="16" t="s">
        <v>2</v>
      </c>
      <c r="E645" s="17">
        <f>5.604-2.063-0.511</f>
        <v>3.03</v>
      </c>
      <c r="F645" s="18">
        <f>78700+3000+1000</f>
        <v>82700</v>
      </c>
      <c r="N645" s="21"/>
      <c r="O645" s="22"/>
    </row>
    <row r="646" spans="1:15" s="10" customFormat="1" x14ac:dyDescent="0.25">
      <c r="A646" s="16">
        <v>159</v>
      </c>
      <c r="B646" s="16">
        <v>32</v>
      </c>
      <c r="C646" s="16">
        <v>20</v>
      </c>
      <c r="D646" s="16" t="s">
        <v>85</v>
      </c>
      <c r="E646" s="17">
        <f>4.759-0.104-0.054</f>
        <v>4.601</v>
      </c>
      <c r="F646" s="18">
        <f>68700+1000</f>
        <v>69700</v>
      </c>
      <c r="N646" s="21"/>
      <c r="O646" s="22"/>
    </row>
    <row r="647" spans="1:15" s="10" customFormat="1" x14ac:dyDescent="0.25">
      <c r="A647" s="16">
        <v>159</v>
      </c>
      <c r="B647" s="16">
        <v>32</v>
      </c>
      <c r="C647" s="16">
        <v>20</v>
      </c>
      <c r="D647" s="16" t="s">
        <v>85</v>
      </c>
      <c r="E647" s="17">
        <v>0.59</v>
      </c>
      <c r="F647" s="18">
        <f>68700+1000</f>
        <v>69700</v>
      </c>
      <c r="N647" s="21"/>
      <c r="O647" s="22"/>
    </row>
    <row r="648" spans="1:15" s="10" customFormat="1" x14ac:dyDescent="0.25">
      <c r="A648" s="16">
        <v>159</v>
      </c>
      <c r="B648" s="16">
        <v>32</v>
      </c>
      <c r="C648" s="16" t="s">
        <v>7</v>
      </c>
      <c r="D648" s="16" t="s">
        <v>2</v>
      </c>
      <c r="E648" s="17">
        <f>4.994-0.528-0.504-0.518-0.215-0.974-0.472-0.471-0.825+0.004</f>
        <v>0.49099999999999899</v>
      </c>
      <c r="F648" s="18">
        <f>78700+3000+1000</f>
        <v>82700</v>
      </c>
      <c r="N648" s="21"/>
      <c r="O648" s="22"/>
    </row>
    <row r="649" spans="1:15" s="10" customFormat="1" x14ac:dyDescent="0.25">
      <c r="A649" s="16">
        <v>159</v>
      </c>
      <c r="B649" s="16">
        <v>32</v>
      </c>
      <c r="C649" s="16" t="s">
        <v>7</v>
      </c>
      <c r="D649" s="16" t="s">
        <v>2</v>
      </c>
      <c r="E649" s="17">
        <f>4.348-2.201</f>
        <v>2.1469999999999998</v>
      </c>
      <c r="F649" s="18">
        <f>78700+3000+1000</f>
        <v>82700</v>
      </c>
      <c r="N649" s="21"/>
      <c r="O649" s="22"/>
    </row>
    <row r="650" spans="1:15" s="10" customFormat="1" x14ac:dyDescent="0.25">
      <c r="A650" s="16">
        <v>159</v>
      </c>
      <c r="B650" s="16">
        <v>36</v>
      </c>
      <c r="C650" s="16">
        <v>20</v>
      </c>
      <c r="D650" s="16" t="s">
        <v>2</v>
      </c>
      <c r="E650" s="17">
        <v>0.495</v>
      </c>
      <c r="F650" s="18">
        <f>68700+1000</f>
        <v>69700</v>
      </c>
      <c r="N650" s="21"/>
      <c r="O650" s="22"/>
    </row>
    <row r="651" spans="1:15" s="10" customFormat="1" x14ac:dyDescent="0.25">
      <c r="A651" s="16">
        <v>159</v>
      </c>
      <c r="B651" s="16">
        <v>36</v>
      </c>
      <c r="C651" s="16">
        <v>20</v>
      </c>
      <c r="D651" s="16" t="s">
        <v>2</v>
      </c>
      <c r="E651" s="17">
        <v>4.5</v>
      </c>
      <c r="F651" s="18">
        <f>68700+1000</f>
        <v>69700</v>
      </c>
      <c r="N651" s="21"/>
      <c r="O651" s="22"/>
    </row>
    <row r="652" spans="1:15" s="10" customFormat="1" x14ac:dyDescent="0.25">
      <c r="A652" s="16">
        <v>159</v>
      </c>
      <c r="B652" s="16">
        <v>36</v>
      </c>
      <c r="C652" s="16">
        <v>35</v>
      </c>
      <c r="D652" s="16" t="s">
        <v>85</v>
      </c>
      <c r="E652" s="17">
        <v>5.306</v>
      </c>
      <c r="F652" s="18">
        <f>69700+1000</f>
        <v>70700</v>
      </c>
      <c r="N652" s="21"/>
      <c r="O652" s="22"/>
    </row>
    <row r="653" spans="1:15" s="10" customFormat="1" x14ac:dyDescent="0.25">
      <c r="A653" s="16">
        <v>159</v>
      </c>
      <c r="B653" s="16">
        <v>36</v>
      </c>
      <c r="C653" s="16">
        <v>35</v>
      </c>
      <c r="D653" s="16" t="s">
        <v>85</v>
      </c>
      <c r="E653" s="17">
        <v>3.6749999999999998</v>
      </c>
      <c r="F653" s="18">
        <f>69700+1000</f>
        <v>70700</v>
      </c>
      <c r="N653" s="21"/>
      <c r="O653" s="22"/>
    </row>
    <row r="654" spans="1:15" s="10" customFormat="1" x14ac:dyDescent="0.25">
      <c r="A654" s="16">
        <v>159</v>
      </c>
      <c r="B654" s="16">
        <v>36</v>
      </c>
      <c r="C654" s="16">
        <v>35</v>
      </c>
      <c r="D654" s="16" t="s">
        <v>85</v>
      </c>
      <c r="E654" s="17">
        <v>1.1950000000000001</v>
      </c>
      <c r="F654" s="18">
        <f>69700+1000</f>
        <v>70700</v>
      </c>
      <c r="N654" s="21"/>
      <c r="O654" s="22"/>
    </row>
    <row r="655" spans="1:15" s="10" customFormat="1" x14ac:dyDescent="0.25">
      <c r="A655" s="16">
        <v>159</v>
      </c>
      <c r="B655" s="16">
        <v>36</v>
      </c>
      <c r="C655" s="16">
        <v>45</v>
      </c>
      <c r="D655" s="16" t="s">
        <v>2</v>
      </c>
      <c r="E655" s="17">
        <v>2.3149999999999999</v>
      </c>
      <c r="F655" s="18">
        <f>69700+1000</f>
        <v>70700</v>
      </c>
      <c r="N655" s="21"/>
      <c r="O655" s="22"/>
    </row>
    <row r="656" spans="1:15" s="10" customFormat="1" x14ac:dyDescent="0.25">
      <c r="A656" s="16">
        <v>159</v>
      </c>
      <c r="B656" s="16">
        <v>36</v>
      </c>
      <c r="C656" s="16">
        <v>45</v>
      </c>
      <c r="D656" s="16" t="s">
        <v>2</v>
      </c>
      <c r="E656" s="17">
        <v>2.6680000000000001</v>
      </c>
      <c r="F656" s="18">
        <f>69700+1000</f>
        <v>70700</v>
      </c>
      <c r="N656" s="21"/>
      <c r="O656" s="22"/>
    </row>
    <row r="657" spans="1:15" s="10" customFormat="1" x14ac:dyDescent="0.25">
      <c r="A657" s="16">
        <v>159</v>
      </c>
      <c r="B657" s="16">
        <v>36</v>
      </c>
      <c r="C657" s="16" t="s">
        <v>89</v>
      </c>
      <c r="D657" s="16" t="s">
        <v>2</v>
      </c>
      <c r="E657" s="17">
        <v>3</v>
      </c>
      <c r="F657" s="18">
        <f>81700+1000</f>
        <v>82700</v>
      </c>
      <c r="N657" s="21"/>
      <c r="O657" s="22"/>
    </row>
    <row r="658" spans="1:15" s="10" customFormat="1" x14ac:dyDescent="0.25">
      <c r="A658" s="16">
        <v>159</v>
      </c>
      <c r="B658" s="16">
        <v>36</v>
      </c>
      <c r="C658" s="16" t="s">
        <v>7</v>
      </c>
      <c r="D658" s="16" t="s">
        <v>2</v>
      </c>
      <c r="E658" s="17">
        <f>4.847-0.548-0.541-1.048-0.114-0.232</f>
        <v>2.3640000000000003</v>
      </c>
      <c r="F658" s="18">
        <f>78700+3000+1000</f>
        <v>82700</v>
      </c>
      <c r="N658" s="21"/>
      <c r="O658" s="22"/>
    </row>
    <row r="659" spans="1:15" s="10" customFormat="1" x14ac:dyDescent="0.25">
      <c r="A659" s="16">
        <v>159</v>
      </c>
      <c r="B659" s="16">
        <v>36</v>
      </c>
      <c r="C659" s="16" t="s">
        <v>7</v>
      </c>
      <c r="D659" s="16" t="s">
        <v>85</v>
      </c>
      <c r="E659" s="17">
        <v>5</v>
      </c>
      <c r="F659" s="18">
        <v>82700</v>
      </c>
      <c r="N659" s="21"/>
      <c r="O659" s="22"/>
    </row>
    <row r="660" spans="1:15" s="10" customFormat="1" x14ac:dyDescent="0.25">
      <c r="A660" s="16">
        <v>159</v>
      </c>
      <c r="B660" s="16">
        <v>36</v>
      </c>
      <c r="C660" s="16" t="s">
        <v>5</v>
      </c>
      <c r="D660" s="16" t="s">
        <v>85</v>
      </c>
      <c r="E660" s="17">
        <v>5</v>
      </c>
      <c r="F660" s="18">
        <v>82700</v>
      </c>
      <c r="N660" s="21"/>
      <c r="O660" s="22"/>
    </row>
    <row r="661" spans="1:15" s="10" customFormat="1" x14ac:dyDescent="0.25">
      <c r="A661" s="16">
        <v>159</v>
      </c>
      <c r="B661" s="16">
        <v>36</v>
      </c>
      <c r="C661" s="16" t="s">
        <v>3</v>
      </c>
      <c r="D661" s="16" t="s">
        <v>4</v>
      </c>
      <c r="E661" s="17">
        <f>5.78-2.913</f>
        <v>2.8670000000000004</v>
      </c>
      <c r="F661" s="18">
        <v>157700</v>
      </c>
      <c r="N661" s="21"/>
      <c r="O661" s="22"/>
    </row>
    <row r="662" spans="1:15" s="10" customFormat="1" x14ac:dyDescent="0.25">
      <c r="A662" s="16">
        <v>168</v>
      </c>
      <c r="B662" s="16">
        <v>8</v>
      </c>
      <c r="C662" s="16">
        <v>20</v>
      </c>
      <c r="D662" s="16" t="s">
        <v>2</v>
      </c>
      <c r="E662" s="17">
        <f>9.208-0.181-0.09-0.033-0.033-0.066-0.021-0.01-0.176-0.008-0.132-0.033</f>
        <v>8.4250000000000025</v>
      </c>
      <c r="F662" s="18">
        <f>57700+3000+1000+6000</f>
        <v>67700</v>
      </c>
      <c r="N662" s="21"/>
      <c r="O662" s="22"/>
    </row>
    <row r="663" spans="1:15" s="10" customFormat="1" x14ac:dyDescent="0.25">
      <c r="A663" s="16">
        <v>168</v>
      </c>
      <c r="B663" s="16">
        <v>8</v>
      </c>
      <c r="C663" s="16">
        <v>20</v>
      </c>
      <c r="D663" s="16" t="s">
        <v>2</v>
      </c>
      <c r="E663" s="17">
        <v>0.39</v>
      </c>
      <c r="F663" s="18">
        <f>60700+1000+6000</f>
        <v>67700</v>
      </c>
      <c r="N663" s="21"/>
      <c r="O663" s="22"/>
    </row>
    <row r="664" spans="1:15" s="10" customFormat="1" x14ac:dyDescent="0.25">
      <c r="A664" s="16">
        <v>168</v>
      </c>
      <c r="B664" s="16">
        <v>8</v>
      </c>
      <c r="C664" s="16">
        <v>20</v>
      </c>
      <c r="D664" s="16" t="s">
        <v>2</v>
      </c>
      <c r="E664" s="17">
        <v>0.33200000000000002</v>
      </c>
      <c r="F664" s="18">
        <v>67700</v>
      </c>
      <c r="N664" s="21"/>
      <c r="O664" s="22"/>
    </row>
    <row r="665" spans="1:15" s="10" customFormat="1" x14ac:dyDescent="0.25">
      <c r="A665" s="16">
        <v>168</v>
      </c>
      <c r="B665" s="16">
        <v>8</v>
      </c>
      <c r="C665" s="16">
        <v>20</v>
      </c>
      <c r="D665" s="16" t="s">
        <v>28</v>
      </c>
      <c r="E665" s="17">
        <v>3.831</v>
      </c>
      <c r="F665" s="18">
        <f>65700+3000+1000+5000</f>
        <v>74700</v>
      </c>
      <c r="N665" s="21"/>
      <c r="O665" s="22"/>
    </row>
    <row r="666" spans="1:15" s="10" customFormat="1" x14ac:dyDescent="0.25">
      <c r="A666" s="16">
        <v>168</v>
      </c>
      <c r="B666" s="16">
        <v>8</v>
      </c>
      <c r="C666" s="16">
        <v>20</v>
      </c>
      <c r="D666" s="16" t="s">
        <v>88</v>
      </c>
      <c r="E666" s="17">
        <v>1.1719999999999999</v>
      </c>
      <c r="F666" s="18">
        <f>49700+1000</f>
        <v>50700</v>
      </c>
      <c r="N666" s="21"/>
      <c r="O666" s="22"/>
    </row>
    <row r="667" spans="1:15" s="10" customFormat="1" x14ac:dyDescent="0.25">
      <c r="A667" s="16">
        <v>168</v>
      </c>
      <c r="B667" s="16">
        <v>8</v>
      </c>
      <c r="C667" s="16" t="s">
        <v>0</v>
      </c>
      <c r="D667" s="16" t="s">
        <v>2</v>
      </c>
      <c r="E667" s="17">
        <f>5.322-0.023-0.037+0.037-0.044-0.035-0.327-0.325-0.329</f>
        <v>4.2390000000000008</v>
      </c>
      <c r="F667" s="18">
        <f>68700+3000+1000</f>
        <v>72700</v>
      </c>
      <c r="N667" s="21"/>
      <c r="O667" s="22"/>
    </row>
    <row r="668" spans="1:15" s="10" customFormat="1" x14ac:dyDescent="0.25">
      <c r="A668" s="16">
        <v>168</v>
      </c>
      <c r="B668" s="16">
        <v>10</v>
      </c>
      <c r="C668" s="16">
        <v>20</v>
      </c>
      <c r="D668" s="16" t="s">
        <v>2</v>
      </c>
      <c r="E668" s="17">
        <v>0.23300000000000001</v>
      </c>
      <c r="F668" s="18">
        <f>68700+1000</f>
        <v>69700</v>
      </c>
      <c r="N668" s="21"/>
      <c r="O668" s="22"/>
    </row>
    <row r="669" spans="1:15" s="10" customFormat="1" x14ac:dyDescent="0.25">
      <c r="A669" s="16">
        <v>168</v>
      </c>
      <c r="B669" s="20">
        <v>10</v>
      </c>
      <c r="C669" s="16">
        <v>20</v>
      </c>
      <c r="D669" s="16" t="s">
        <v>2</v>
      </c>
      <c r="E669" s="17">
        <f>0.369-0.046+0.002</f>
        <v>0.32500000000000001</v>
      </c>
      <c r="F669" s="18">
        <f>68700+1000</f>
        <v>69700</v>
      </c>
      <c r="N669" s="21"/>
      <c r="O669" s="22"/>
    </row>
    <row r="670" spans="1:15" s="10" customFormat="1" x14ac:dyDescent="0.25">
      <c r="A670" s="16">
        <v>168</v>
      </c>
      <c r="B670" s="16">
        <v>10</v>
      </c>
      <c r="C670" s="16">
        <v>20</v>
      </c>
      <c r="D670" s="16" t="s">
        <v>2</v>
      </c>
      <c r="E670" s="17">
        <f>4.55-0.051</f>
        <v>4.4989999999999997</v>
      </c>
      <c r="F670" s="18">
        <f>68700+1000</f>
        <v>69700</v>
      </c>
      <c r="N670" s="21"/>
      <c r="O670" s="22"/>
    </row>
    <row r="671" spans="1:15" s="10" customFormat="1" x14ac:dyDescent="0.25">
      <c r="A671" s="16">
        <v>168</v>
      </c>
      <c r="B671" s="16">
        <v>10</v>
      </c>
      <c r="C671" s="16">
        <v>20</v>
      </c>
      <c r="D671" s="16" t="s">
        <v>2</v>
      </c>
      <c r="E671" s="17">
        <v>0.86399999999999999</v>
      </c>
      <c r="F671" s="18">
        <f>68700+1000</f>
        <v>69700</v>
      </c>
      <c r="N671" s="21"/>
      <c r="O671" s="22"/>
    </row>
    <row r="672" spans="1:15" s="10" customFormat="1" x14ac:dyDescent="0.25">
      <c r="A672" s="16">
        <v>168</v>
      </c>
      <c r="B672" s="16">
        <v>10</v>
      </c>
      <c r="C672" s="16">
        <v>20</v>
      </c>
      <c r="D672" s="16" t="s">
        <v>2</v>
      </c>
      <c r="E672" s="17">
        <v>9.7000000000000003E-2</v>
      </c>
      <c r="F672" s="18">
        <f>68700+1000</f>
        <v>69700</v>
      </c>
      <c r="N672" s="21"/>
      <c r="O672" s="22"/>
    </row>
    <row r="673" spans="1:15" s="10" customFormat="1" x14ac:dyDescent="0.25">
      <c r="A673" s="16">
        <v>168</v>
      </c>
      <c r="B673" s="16">
        <v>10</v>
      </c>
      <c r="C673" s="16">
        <v>20</v>
      </c>
      <c r="D673" s="16" t="s">
        <v>4</v>
      </c>
      <c r="E673" s="17">
        <v>5.85</v>
      </c>
      <c r="F673" s="18">
        <v>97700</v>
      </c>
      <c r="N673" s="21"/>
      <c r="O673" s="22"/>
    </row>
    <row r="674" spans="1:15" s="10" customFormat="1" x14ac:dyDescent="0.25">
      <c r="A674" s="16">
        <v>168</v>
      </c>
      <c r="B674" s="16">
        <v>10</v>
      </c>
      <c r="C674" s="16" t="s">
        <v>0</v>
      </c>
      <c r="D674" s="16" t="s">
        <v>2</v>
      </c>
      <c r="E674" s="17">
        <f>5.123-0.414-0.838-2.096</f>
        <v>1.7750000000000004</v>
      </c>
      <c r="F674" s="18">
        <f>68700+3000+1000</f>
        <v>72700</v>
      </c>
      <c r="N674" s="21"/>
      <c r="O674" s="22"/>
    </row>
    <row r="675" spans="1:15" s="10" customFormat="1" x14ac:dyDescent="0.25">
      <c r="A675" s="16">
        <v>168</v>
      </c>
      <c r="B675" s="16">
        <v>10</v>
      </c>
      <c r="C675" s="16" t="s">
        <v>0</v>
      </c>
      <c r="D675" s="16" t="s">
        <v>2</v>
      </c>
      <c r="E675" s="17">
        <f>4.147-0.884-0.32-0.295-0.297-0.581-1.477+0.002-0.05+0.003-0.15+0.001-0.022-0.043</f>
        <v>3.4000000000000405E-2</v>
      </c>
      <c r="F675" s="18">
        <f>68700+3000+1000</f>
        <v>72700</v>
      </c>
      <c r="N675" s="21"/>
      <c r="O675" s="22"/>
    </row>
    <row r="676" spans="1:15" s="10" customFormat="1" x14ac:dyDescent="0.25">
      <c r="A676" s="16">
        <v>168</v>
      </c>
      <c r="B676" s="16">
        <v>10</v>
      </c>
      <c r="C676" s="16" t="s">
        <v>7</v>
      </c>
      <c r="D676" s="16" t="s">
        <v>2</v>
      </c>
      <c r="E676" s="17">
        <v>5.242</v>
      </c>
      <c r="F676" s="18">
        <f>81700+1000</f>
        <v>82700</v>
      </c>
      <c r="N676" s="21"/>
      <c r="O676" s="22"/>
    </row>
    <row r="677" spans="1:15" s="10" customFormat="1" x14ac:dyDescent="0.25">
      <c r="A677" s="16">
        <v>168</v>
      </c>
      <c r="B677" s="20">
        <v>12</v>
      </c>
      <c r="C677" s="16">
        <v>20</v>
      </c>
      <c r="D677" s="16" t="s">
        <v>2</v>
      </c>
      <c r="E677" s="17">
        <f>4.227-0.049-0.022-0.141</f>
        <v>4.0149999999999997</v>
      </c>
      <c r="F677" s="18">
        <f>68700+1000</f>
        <v>69700</v>
      </c>
      <c r="N677" s="21"/>
      <c r="O677" s="22"/>
    </row>
    <row r="678" spans="1:15" s="10" customFormat="1" x14ac:dyDescent="0.25">
      <c r="A678" s="16">
        <v>168</v>
      </c>
      <c r="B678" s="16">
        <v>12</v>
      </c>
      <c r="C678" s="16" t="s">
        <v>18</v>
      </c>
      <c r="D678" s="16" t="s">
        <v>19</v>
      </c>
      <c r="E678" s="17">
        <f>5.206-0.408-0.145-0.071-2.223-0.059-0.429-1.308+0.007-0.048</f>
        <v>0.52200000000000057</v>
      </c>
      <c r="F678" s="18">
        <f>68700+1000</f>
        <v>69700</v>
      </c>
      <c r="N678" s="21"/>
      <c r="O678" s="22"/>
    </row>
    <row r="679" spans="1:15" s="10" customFormat="1" x14ac:dyDescent="0.25">
      <c r="A679" s="16">
        <v>168</v>
      </c>
      <c r="B679" s="16">
        <v>14</v>
      </c>
      <c r="C679" s="16" t="s">
        <v>17</v>
      </c>
      <c r="D679" s="16" t="s">
        <v>2</v>
      </c>
      <c r="E679" s="17">
        <v>0.61</v>
      </c>
      <c r="F679" s="18">
        <f>68700+1000+3000</f>
        <v>72700</v>
      </c>
      <c r="N679" s="21"/>
      <c r="O679" s="22"/>
    </row>
    <row r="680" spans="1:15" s="10" customFormat="1" x14ac:dyDescent="0.25">
      <c r="A680" s="16">
        <v>168</v>
      </c>
      <c r="B680" s="16">
        <v>14</v>
      </c>
      <c r="C680" s="16" t="s">
        <v>30</v>
      </c>
      <c r="D680" s="16" t="s">
        <v>2</v>
      </c>
      <c r="E680" s="17">
        <f>8.32-0.11-0.086-0.09</f>
        <v>8.0340000000000007</v>
      </c>
      <c r="F680" s="18">
        <f>70700+4000</f>
        <v>74700</v>
      </c>
      <c r="N680" s="21"/>
      <c r="O680" s="22"/>
    </row>
    <row r="681" spans="1:15" s="10" customFormat="1" x14ac:dyDescent="0.25">
      <c r="A681" s="16">
        <v>168</v>
      </c>
      <c r="B681" s="16">
        <v>14</v>
      </c>
      <c r="C681" s="16" t="s">
        <v>0</v>
      </c>
      <c r="D681" s="16" t="s">
        <v>2</v>
      </c>
      <c r="E681" s="17">
        <f>10.662-0.458-0.8-0.462-1.631-0.46-0.051-0.46-0.162-0.052-0.403-0.077-0.59-4.767+0.02-0.074+0.001-0.159-0.021-0.022</f>
        <v>3.4000000000000592E-2</v>
      </c>
      <c r="F681" s="18">
        <f>68700+3000+1000</f>
        <v>72700</v>
      </c>
      <c r="N681" s="21"/>
      <c r="O681" s="22"/>
    </row>
    <row r="682" spans="1:15" s="10" customFormat="1" x14ac:dyDescent="0.25">
      <c r="A682" s="16">
        <v>168</v>
      </c>
      <c r="B682" s="16">
        <v>14</v>
      </c>
      <c r="C682" s="16" t="s">
        <v>0</v>
      </c>
      <c r="D682" s="16" t="s">
        <v>2</v>
      </c>
      <c r="E682" s="17">
        <f>5.523-1.699-0.138-0.86-2.548+0.003-0.154</f>
        <v>0.12700000000000003</v>
      </c>
      <c r="F682" s="18">
        <f>68700+3000+1000</f>
        <v>72700</v>
      </c>
      <c r="N682" s="21"/>
      <c r="O682" s="22"/>
    </row>
    <row r="683" spans="1:15" s="10" customFormat="1" x14ac:dyDescent="0.25">
      <c r="A683" s="16">
        <v>168</v>
      </c>
      <c r="B683" s="16">
        <v>14</v>
      </c>
      <c r="C683" s="16" t="s">
        <v>0</v>
      </c>
      <c r="D683" s="16" t="s">
        <v>2</v>
      </c>
      <c r="E683" s="17">
        <f>11.117-1.021-0.976-4.03-0.506-0.511</f>
        <v>4.0730000000000004</v>
      </c>
      <c r="F683" s="18">
        <f>68700+3000+1000</f>
        <v>72700</v>
      </c>
      <c r="N683" s="21"/>
      <c r="O683" s="22"/>
    </row>
    <row r="684" spans="1:15" s="10" customFormat="1" x14ac:dyDescent="0.25">
      <c r="A684" s="16">
        <v>168</v>
      </c>
      <c r="B684" s="16">
        <v>14</v>
      </c>
      <c r="C684" s="16" t="s">
        <v>0</v>
      </c>
      <c r="D684" s="16" t="s">
        <v>85</v>
      </c>
      <c r="E684" s="17">
        <v>4.78</v>
      </c>
      <c r="F684" s="18">
        <f>68700+3000+1000</f>
        <v>72700</v>
      </c>
      <c r="N684" s="21"/>
      <c r="O684" s="22"/>
    </row>
    <row r="685" spans="1:15" s="10" customFormat="1" x14ac:dyDescent="0.25">
      <c r="A685" s="16">
        <v>168</v>
      </c>
      <c r="B685" s="20">
        <v>16</v>
      </c>
      <c r="C685" s="16">
        <v>20</v>
      </c>
      <c r="D685" s="16" t="s">
        <v>2</v>
      </c>
      <c r="E685" s="17">
        <f>3.51-0.692</f>
        <v>2.8179999999999996</v>
      </c>
      <c r="F685" s="18">
        <f>65700+3000+1000</f>
        <v>69700</v>
      </c>
      <c r="N685" s="21"/>
      <c r="O685" s="22"/>
    </row>
    <row r="686" spans="1:15" s="10" customFormat="1" x14ac:dyDescent="0.25">
      <c r="A686" s="16">
        <v>168</v>
      </c>
      <c r="B686" s="16">
        <v>16</v>
      </c>
      <c r="C686" s="16">
        <v>20</v>
      </c>
      <c r="D686" s="16" t="s">
        <v>2</v>
      </c>
      <c r="E686" s="17">
        <f>3.274-0.035</f>
        <v>3.2389999999999999</v>
      </c>
      <c r="F686" s="18">
        <f>65700+3000+1000</f>
        <v>69700</v>
      </c>
      <c r="N686" s="21"/>
      <c r="O686" s="22"/>
    </row>
    <row r="687" spans="1:15" s="10" customFormat="1" x14ac:dyDescent="0.25">
      <c r="A687" s="16">
        <v>168</v>
      </c>
      <c r="B687" s="16">
        <v>16</v>
      </c>
      <c r="C687" s="16" t="s">
        <v>0</v>
      </c>
      <c r="D687" s="16" t="s">
        <v>2</v>
      </c>
      <c r="E687" s="17">
        <f>4.12-0.57-2.364-0.595</f>
        <v>0.59100000000000041</v>
      </c>
      <c r="F687" s="18">
        <f>68700+3000+1000</f>
        <v>72700</v>
      </c>
      <c r="N687" s="21"/>
      <c r="O687" s="22"/>
    </row>
    <row r="688" spans="1:15" s="10" customFormat="1" x14ac:dyDescent="0.25">
      <c r="A688" s="16">
        <v>168</v>
      </c>
      <c r="B688" s="16">
        <v>16</v>
      </c>
      <c r="C688" s="16" t="s">
        <v>0</v>
      </c>
      <c r="D688" s="16" t="s">
        <v>2</v>
      </c>
      <c r="E688" s="17">
        <f>6.51-0.208-2.96-0.014-1.193</f>
        <v>2.1349999999999998</v>
      </c>
      <c r="F688" s="18">
        <f>68700+3000+1000</f>
        <v>72700</v>
      </c>
      <c r="N688" s="21"/>
      <c r="O688" s="22"/>
    </row>
    <row r="689" spans="1:15" s="10" customFormat="1" x14ac:dyDescent="0.25">
      <c r="A689" s="16">
        <v>168</v>
      </c>
      <c r="B689" s="16">
        <v>16</v>
      </c>
      <c r="C689" s="16" t="s">
        <v>0</v>
      </c>
      <c r="D689" s="16" t="s">
        <v>85</v>
      </c>
      <c r="E689" s="17">
        <v>5</v>
      </c>
      <c r="F689" s="18">
        <v>72700</v>
      </c>
      <c r="N689" s="21"/>
      <c r="O689" s="22"/>
    </row>
    <row r="690" spans="1:15" s="10" customFormat="1" x14ac:dyDescent="0.25">
      <c r="A690" s="16">
        <v>168</v>
      </c>
      <c r="B690" s="16">
        <v>18</v>
      </c>
      <c r="C690" s="16">
        <v>35</v>
      </c>
      <c r="D690" s="16" t="s">
        <v>2</v>
      </c>
      <c r="E690" s="17">
        <f>5.431-3.269</f>
        <v>2.1619999999999999</v>
      </c>
      <c r="F690" s="18">
        <f>66700+3000+1000</f>
        <v>70700</v>
      </c>
      <c r="N690" s="21"/>
      <c r="O690" s="22"/>
    </row>
    <row r="691" spans="1:15" s="10" customFormat="1" x14ac:dyDescent="0.25">
      <c r="A691" s="16">
        <v>168</v>
      </c>
      <c r="B691" s="16">
        <v>18</v>
      </c>
      <c r="C691" s="16">
        <v>45</v>
      </c>
      <c r="D691" s="16" t="s">
        <v>2</v>
      </c>
      <c r="E691" s="17">
        <f>0.3-0.14</f>
        <v>0.15999999999999998</v>
      </c>
      <c r="F691" s="18">
        <f>66700+3000+1000</f>
        <v>70700</v>
      </c>
      <c r="N691" s="21"/>
      <c r="O691" s="22"/>
    </row>
    <row r="692" spans="1:15" s="10" customFormat="1" x14ac:dyDescent="0.25">
      <c r="A692" s="16">
        <v>168</v>
      </c>
      <c r="B692" s="16">
        <v>18</v>
      </c>
      <c r="C692" s="16">
        <v>45</v>
      </c>
      <c r="D692" s="16" t="s">
        <v>2</v>
      </c>
      <c r="E692" s="17">
        <f>5.461-0.059-0.04+0.081-0.283</f>
        <v>5.16</v>
      </c>
      <c r="F692" s="18">
        <f>66700+3000+1000</f>
        <v>70700</v>
      </c>
      <c r="N692" s="21"/>
      <c r="O692" s="22"/>
    </row>
    <row r="693" spans="1:15" s="10" customFormat="1" x14ac:dyDescent="0.25">
      <c r="A693" s="16">
        <v>168</v>
      </c>
      <c r="B693" s="16">
        <v>18</v>
      </c>
      <c r="C693" s="16">
        <v>45</v>
      </c>
      <c r="D693" s="16" t="s">
        <v>2</v>
      </c>
      <c r="E693" s="17">
        <v>3.8029999999999999</v>
      </c>
      <c r="F693" s="18">
        <f>66700+3000+1000</f>
        <v>70700</v>
      </c>
      <c r="N693" s="21"/>
      <c r="O693" s="22"/>
    </row>
    <row r="694" spans="1:15" s="10" customFormat="1" x14ac:dyDescent="0.25">
      <c r="A694" s="16">
        <v>168</v>
      </c>
      <c r="B694" s="16">
        <v>18</v>
      </c>
      <c r="C694" s="16">
        <v>45</v>
      </c>
      <c r="D694" s="16" t="s">
        <v>2</v>
      </c>
      <c r="E694" s="17">
        <v>1.546</v>
      </c>
      <c r="F694" s="18">
        <f>66700+3000+1000</f>
        <v>70700</v>
      </c>
      <c r="N694" s="21"/>
      <c r="O694" s="22"/>
    </row>
    <row r="695" spans="1:15" s="10" customFormat="1" x14ac:dyDescent="0.25">
      <c r="A695" s="16">
        <v>168</v>
      </c>
      <c r="B695" s="16">
        <v>18</v>
      </c>
      <c r="C695" s="16" t="s">
        <v>0</v>
      </c>
      <c r="D695" s="16" t="s">
        <v>2</v>
      </c>
      <c r="E695" s="17">
        <f>4.365-0.494-0.239</f>
        <v>3.6320000000000006</v>
      </c>
      <c r="F695" s="18">
        <f>68700+3000+1000</f>
        <v>72700</v>
      </c>
      <c r="N695" s="21"/>
      <c r="O695" s="22"/>
    </row>
    <row r="696" spans="1:15" s="10" customFormat="1" x14ac:dyDescent="0.25">
      <c r="A696" s="16">
        <v>168</v>
      </c>
      <c r="B696" s="16">
        <v>18</v>
      </c>
      <c r="C696" s="16" t="s">
        <v>5</v>
      </c>
      <c r="D696" s="16" t="s">
        <v>2</v>
      </c>
      <c r="E696" s="17">
        <f>0.961-0.084-0.017-0.185</f>
        <v>0.67500000000000004</v>
      </c>
      <c r="F696" s="18">
        <f>78700+3000+1000</f>
        <v>82700</v>
      </c>
      <c r="N696" s="21"/>
      <c r="O696" s="22"/>
    </row>
    <row r="697" spans="1:15" s="10" customFormat="1" x14ac:dyDescent="0.25">
      <c r="A697" s="16">
        <v>168</v>
      </c>
      <c r="B697" s="16">
        <v>18</v>
      </c>
      <c r="C697" s="16" t="s">
        <v>5</v>
      </c>
      <c r="D697" s="16" t="s">
        <v>2</v>
      </c>
      <c r="E697" s="17">
        <v>4.2510000000000003</v>
      </c>
      <c r="F697" s="18">
        <f>78700+3000+1000</f>
        <v>82700</v>
      </c>
      <c r="N697" s="21"/>
      <c r="O697" s="22"/>
    </row>
    <row r="698" spans="1:15" s="10" customFormat="1" x14ac:dyDescent="0.25">
      <c r="A698" s="16">
        <v>168</v>
      </c>
      <c r="B698" s="16">
        <v>19</v>
      </c>
      <c r="C698" s="16">
        <v>20</v>
      </c>
      <c r="D698" s="16" t="s">
        <v>2</v>
      </c>
      <c r="E698" s="17">
        <v>0.156</v>
      </c>
      <c r="F698" s="18">
        <f>68700+1000</f>
        <v>69700</v>
      </c>
      <c r="N698" s="21"/>
      <c r="O698" s="22"/>
    </row>
    <row r="699" spans="1:15" s="10" customFormat="1" x14ac:dyDescent="0.25">
      <c r="A699" s="16">
        <v>168</v>
      </c>
      <c r="B699" s="16">
        <v>20</v>
      </c>
      <c r="C699" s="16">
        <v>20</v>
      </c>
      <c r="D699" s="16" t="s">
        <v>2</v>
      </c>
      <c r="E699" s="17">
        <f>2.815-0.153</f>
        <v>2.6619999999999999</v>
      </c>
      <c r="F699" s="18">
        <f>68700+1000</f>
        <v>69700</v>
      </c>
      <c r="N699" s="21"/>
      <c r="O699" s="22"/>
    </row>
    <row r="700" spans="1:15" s="10" customFormat="1" x14ac:dyDescent="0.25">
      <c r="A700" s="16">
        <v>168</v>
      </c>
      <c r="B700" s="16">
        <v>20</v>
      </c>
      <c r="C700" s="16">
        <v>20</v>
      </c>
      <c r="D700" s="16" t="s">
        <v>2</v>
      </c>
      <c r="E700" s="17">
        <f>4.744-0.536</f>
        <v>4.2080000000000002</v>
      </c>
      <c r="F700" s="18">
        <f>68700+1000</f>
        <v>69700</v>
      </c>
      <c r="N700" s="21"/>
      <c r="O700" s="22"/>
    </row>
    <row r="701" spans="1:15" s="10" customFormat="1" x14ac:dyDescent="0.25">
      <c r="A701" s="16">
        <v>168</v>
      </c>
      <c r="B701" s="16">
        <v>20</v>
      </c>
      <c r="C701" s="16" t="s">
        <v>0</v>
      </c>
      <c r="D701" s="16" t="s">
        <v>2</v>
      </c>
      <c r="E701" s="17">
        <f>22.035-0.413-2.086-4.63-2.095-0.223-0.515-5.691-0.562-0.523-0.21</f>
        <v>5.0870000000000006</v>
      </c>
      <c r="F701" s="18">
        <f>68700+3000+1000</f>
        <v>72700</v>
      </c>
      <c r="N701" s="21"/>
      <c r="O701" s="22"/>
    </row>
    <row r="702" spans="1:15" s="10" customFormat="1" x14ac:dyDescent="0.25">
      <c r="A702" s="16">
        <v>168</v>
      </c>
      <c r="B702" s="16">
        <v>20</v>
      </c>
      <c r="C702" s="16" t="s">
        <v>0</v>
      </c>
      <c r="D702" s="16" t="s">
        <v>2</v>
      </c>
      <c r="E702" s="17">
        <v>3.33</v>
      </c>
      <c r="F702" s="18">
        <f>68700+3000+1000</f>
        <v>72700</v>
      </c>
      <c r="N702" s="21"/>
      <c r="O702" s="22"/>
    </row>
    <row r="703" spans="1:15" s="10" customFormat="1" x14ac:dyDescent="0.25">
      <c r="A703" s="16">
        <v>168</v>
      </c>
      <c r="B703" s="16">
        <v>20</v>
      </c>
      <c r="C703" s="16" t="s">
        <v>5</v>
      </c>
      <c r="D703" s="16" t="s">
        <v>2</v>
      </c>
      <c r="E703" s="17">
        <v>0.318</v>
      </c>
      <c r="F703" s="18">
        <f>78700+3000+1000</f>
        <v>82700</v>
      </c>
      <c r="N703" s="21"/>
      <c r="O703" s="22"/>
    </row>
    <row r="704" spans="1:15" s="10" customFormat="1" x14ac:dyDescent="0.25">
      <c r="A704" s="16">
        <v>168</v>
      </c>
      <c r="B704" s="16">
        <v>20</v>
      </c>
      <c r="C704" s="16" t="s">
        <v>5</v>
      </c>
      <c r="D704" s="16" t="s">
        <v>2</v>
      </c>
      <c r="E704" s="17">
        <f>0.821-0.425-0.121-0.095</f>
        <v>0.17999999999999997</v>
      </c>
      <c r="F704" s="18">
        <f>78700+3000+1000</f>
        <v>82700</v>
      </c>
      <c r="N704" s="21"/>
      <c r="O704" s="22"/>
    </row>
    <row r="705" spans="1:15" s="10" customFormat="1" x14ac:dyDescent="0.25">
      <c r="A705" s="16">
        <v>168</v>
      </c>
      <c r="B705" s="16">
        <v>20</v>
      </c>
      <c r="C705" s="16" t="s">
        <v>5</v>
      </c>
      <c r="D705" s="16" t="s">
        <v>2</v>
      </c>
      <c r="E705" s="17">
        <f>4.08-0.807</f>
        <v>3.2730000000000001</v>
      </c>
      <c r="F705" s="18">
        <f>78700+3000+1000</f>
        <v>82700</v>
      </c>
      <c r="N705" s="21"/>
      <c r="O705" s="22"/>
    </row>
    <row r="706" spans="1:15" s="10" customFormat="1" x14ac:dyDescent="0.25">
      <c r="A706" s="16">
        <v>168</v>
      </c>
      <c r="B706" s="16">
        <v>22</v>
      </c>
      <c r="C706" s="16" t="s">
        <v>0</v>
      </c>
      <c r="D706" s="16" t="s">
        <v>13</v>
      </c>
      <c r="E706" s="17">
        <f>2.31-1.212-0.497</f>
        <v>0.60100000000000009</v>
      </c>
      <c r="F706" s="18">
        <f>78700+3000+1000</f>
        <v>82700</v>
      </c>
      <c r="N706" s="21"/>
      <c r="O706" s="22"/>
    </row>
    <row r="707" spans="1:15" s="10" customFormat="1" x14ac:dyDescent="0.25">
      <c r="A707" s="16">
        <v>168</v>
      </c>
      <c r="B707" s="16">
        <v>22</v>
      </c>
      <c r="C707" s="16" t="s">
        <v>7</v>
      </c>
      <c r="D707" s="16" t="s">
        <v>2</v>
      </c>
      <c r="E707" s="17">
        <v>5.085</v>
      </c>
      <c r="F707" s="18">
        <f>78700+3000+1000</f>
        <v>82700</v>
      </c>
      <c r="N707" s="21"/>
      <c r="O707" s="22"/>
    </row>
    <row r="708" spans="1:15" s="10" customFormat="1" x14ac:dyDescent="0.25">
      <c r="A708" s="16">
        <v>168</v>
      </c>
      <c r="B708" s="16">
        <v>25</v>
      </c>
      <c r="C708" s="16">
        <v>20</v>
      </c>
      <c r="D708" s="16" t="s">
        <v>85</v>
      </c>
      <c r="E708" s="17">
        <f>5.433-2.699-0.268</f>
        <v>2.4660000000000002</v>
      </c>
      <c r="F708" s="18">
        <f>68700+1000</f>
        <v>69700</v>
      </c>
      <c r="N708" s="21"/>
      <c r="O708" s="22"/>
    </row>
    <row r="709" spans="1:15" s="10" customFormat="1" x14ac:dyDescent="0.25">
      <c r="A709" s="16">
        <v>168</v>
      </c>
      <c r="B709" s="16">
        <v>25</v>
      </c>
      <c r="C709" s="16">
        <v>35</v>
      </c>
      <c r="D709" s="16" t="s">
        <v>85</v>
      </c>
      <c r="E709" s="17">
        <v>5.44</v>
      </c>
      <c r="F709" s="18">
        <f>69700+1000</f>
        <v>70700</v>
      </c>
      <c r="N709" s="21"/>
      <c r="O709" s="22"/>
    </row>
    <row r="710" spans="1:15" s="10" customFormat="1" x14ac:dyDescent="0.25">
      <c r="A710" s="16">
        <v>168</v>
      </c>
      <c r="B710" s="16">
        <v>25</v>
      </c>
      <c r="C710" s="16">
        <v>45</v>
      </c>
      <c r="D710" s="16" t="s">
        <v>2</v>
      </c>
      <c r="E710" s="17">
        <f>1.051-0.155</f>
        <v>0.89599999999999991</v>
      </c>
      <c r="F710" s="18">
        <f>66700+3000+1000</f>
        <v>70700</v>
      </c>
      <c r="N710" s="21"/>
      <c r="O710" s="22"/>
    </row>
    <row r="711" spans="1:15" s="10" customFormat="1" x14ac:dyDescent="0.25">
      <c r="A711" s="16">
        <v>168</v>
      </c>
      <c r="B711" s="16">
        <v>25</v>
      </c>
      <c r="C711" s="16">
        <v>45</v>
      </c>
      <c r="D711" s="16" t="s">
        <v>2</v>
      </c>
      <c r="E711" s="17">
        <v>3.83</v>
      </c>
      <c r="F711" s="18">
        <f>66700+3000+1000</f>
        <v>70700</v>
      </c>
      <c r="N711" s="21"/>
      <c r="O711" s="22"/>
    </row>
    <row r="712" spans="1:15" s="10" customFormat="1" x14ac:dyDescent="0.25">
      <c r="A712" s="16">
        <v>168</v>
      </c>
      <c r="B712" s="16">
        <v>25</v>
      </c>
      <c r="C712" s="16">
        <v>45</v>
      </c>
      <c r="D712" s="16" t="s">
        <v>85</v>
      </c>
      <c r="E712" s="17">
        <v>2.3780000000000001</v>
      </c>
      <c r="F712" s="18">
        <f>69700+1000</f>
        <v>70700</v>
      </c>
      <c r="N712" s="21"/>
      <c r="O712" s="22"/>
    </row>
    <row r="713" spans="1:15" s="10" customFormat="1" x14ac:dyDescent="0.25">
      <c r="A713" s="16">
        <v>168</v>
      </c>
      <c r="B713" s="16">
        <v>25</v>
      </c>
      <c r="C713" s="16">
        <v>45</v>
      </c>
      <c r="D713" s="16" t="s">
        <v>85</v>
      </c>
      <c r="E713" s="17">
        <f>2.963-0.515</f>
        <v>2.448</v>
      </c>
      <c r="F713" s="18">
        <f>69700+1000</f>
        <v>70700</v>
      </c>
      <c r="N713" s="21"/>
      <c r="O713" s="22"/>
    </row>
    <row r="714" spans="1:15" s="10" customFormat="1" x14ac:dyDescent="0.25">
      <c r="A714" s="16">
        <v>168</v>
      </c>
      <c r="B714" s="16">
        <v>25</v>
      </c>
      <c r="C714" s="16">
        <v>45</v>
      </c>
      <c r="D714" s="16" t="s">
        <v>2</v>
      </c>
      <c r="E714" s="17">
        <v>0.15</v>
      </c>
      <c r="F714" s="18">
        <f>66700+3000+1000</f>
        <v>70700</v>
      </c>
      <c r="N714" s="21"/>
      <c r="O714" s="22"/>
    </row>
    <row r="715" spans="1:15" s="10" customFormat="1" x14ac:dyDescent="0.25">
      <c r="A715" s="16">
        <v>168</v>
      </c>
      <c r="B715" s="16">
        <v>25</v>
      </c>
      <c r="C715" s="16" t="s">
        <v>0</v>
      </c>
      <c r="D715" s="16" t="s">
        <v>85</v>
      </c>
      <c r="E715" s="17">
        <v>4.8</v>
      </c>
      <c r="F715" s="18">
        <f>68700+3000+1000</f>
        <v>72700</v>
      </c>
      <c r="N715" s="21"/>
      <c r="O715" s="22"/>
    </row>
    <row r="716" spans="1:15" s="10" customFormat="1" x14ac:dyDescent="0.25">
      <c r="A716" s="16">
        <v>168</v>
      </c>
      <c r="B716" s="16">
        <v>25</v>
      </c>
      <c r="C716" s="16" t="s">
        <v>5</v>
      </c>
      <c r="D716" s="16" t="s">
        <v>2</v>
      </c>
      <c r="E716" s="17">
        <f>5.508-2.216</f>
        <v>3.2919999999999998</v>
      </c>
      <c r="F716" s="18">
        <f>78700+3000+1000</f>
        <v>82700</v>
      </c>
      <c r="N716" s="21"/>
      <c r="O716" s="22"/>
    </row>
    <row r="717" spans="1:15" s="10" customFormat="1" x14ac:dyDescent="0.25">
      <c r="A717" s="16">
        <v>168</v>
      </c>
      <c r="B717" s="16">
        <v>25</v>
      </c>
      <c r="C717" s="16" t="s">
        <v>7</v>
      </c>
      <c r="D717" s="16" t="s">
        <v>2</v>
      </c>
      <c r="E717" s="17">
        <f>4.057-1.031-0.173-1.498</f>
        <v>1.3550000000000006</v>
      </c>
      <c r="F717" s="18">
        <f>78700+3000+1000</f>
        <v>82700</v>
      </c>
      <c r="N717" s="21"/>
      <c r="O717" s="22"/>
    </row>
    <row r="718" spans="1:15" s="10" customFormat="1" x14ac:dyDescent="0.25">
      <c r="A718" s="16">
        <v>168</v>
      </c>
      <c r="B718" s="16">
        <v>25</v>
      </c>
      <c r="C718" s="16" t="s">
        <v>7</v>
      </c>
      <c r="D718" s="16" t="s">
        <v>2</v>
      </c>
      <c r="E718" s="17">
        <v>1.6870000000000001</v>
      </c>
      <c r="F718" s="18">
        <f>78700+3000+1000</f>
        <v>82700</v>
      </c>
      <c r="N718" s="21"/>
      <c r="O718" s="22"/>
    </row>
    <row r="719" spans="1:15" s="10" customFormat="1" x14ac:dyDescent="0.25">
      <c r="A719" s="16">
        <v>168</v>
      </c>
      <c r="B719" s="16">
        <v>28</v>
      </c>
      <c r="C719" s="16">
        <v>35</v>
      </c>
      <c r="D719" s="16" t="s">
        <v>85</v>
      </c>
      <c r="E719" s="17">
        <v>4.9800000000000004</v>
      </c>
      <c r="F719" s="18">
        <f>69700+1000</f>
        <v>70700</v>
      </c>
      <c r="N719" s="21"/>
      <c r="O719" s="22"/>
    </row>
    <row r="720" spans="1:15" s="10" customFormat="1" x14ac:dyDescent="0.25">
      <c r="A720" s="16">
        <v>168</v>
      </c>
      <c r="B720" s="16">
        <v>28</v>
      </c>
      <c r="C720" s="16">
        <v>35</v>
      </c>
      <c r="D720" s="16" t="s">
        <v>85</v>
      </c>
      <c r="E720" s="17">
        <v>0.66200000000000003</v>
      </c>
      <c r="F720" s="18">
        <f>69700+1000</f>
        <v>70700</v>
      </c>
      <c r="N720" s="21"/>
      <c r="O720" s="22"/>
    </row>
    <row r="721" spans="1:15" s="10" customFormat="1" x14ac:dyDescent="0.25">
      <c r="A721" s="16">
        <v>168</v>
      </c>
      <c r="B721" s="16">
        <v>28</v>
      </c>
      <c r="C721" s="16">
        <v>45</v>
      </c>
      <c r="D721" s="16" t="s">
        <v>85</v>
      </c>
      <c r="E721" s="17">
        <v>5.3</v>
      </c>
      <c r="F721" s="18">
        <f>69700+1000</f>
        <v>70700</v>
      </c>
      <c r="N721" s="21"/>
      <c r="O721" s="22"/>
    </row>
    <row r="722" spans="1:15" s="10" customFormat="1" x14ac:dyDescent="0.25">
      <c r="A722" s="16">
        <v>168</v>
      </c>
      <c r="B722" s="16">
        <v>28</v>
      </c>
      <c r="C722" s="16" t="s">
        <v>5</v>
      </c>
      <c r="D722" s="16" t="s">
        <v>85</v>
      </c>
      <c r="E722" s="17">
        <f>5.592-2.116-0.674</f>
        <v>2.8019999999999996</v>
      </c>
      <c r="F722" s="18">
        <f>81700+1000</f>
        <v>82700</v>
      </c>
      <c r="N722" s="21"/>
      <c r="O722" s="22"/>
    </row>
    <row r="723" spans="1:15" s="10" customFormat="1" x14ac:dyDescent="0.25">
      <c r="A723" s="16">
        <v>168</v>
      </c>
      <c r="B723" s="16">
        <v>28</v>
      </c>
      <c r="C723" s="16" t="s">
        <v>7</v>
      </c>
      <c r="D723" s="16" t="s">
        <v>2</v>
      </c>
      <c r="E723" s="17">
        <f>2.405-0.603-0.591-0.6+0.001</f>
        <v>0.61199999999999988</v>
      </c>
      <c r="F723" s="18">
        <f>78700+3000+1000</f>
        <v>82700</v>
      </c>
      <c r="N723" s="21"/>
      <c r="O723" s="22"/>
    </row>
    <row r="724" spans="1:15" s="10" customFormat="1" x14ac:dyDescent="0.25">
      <c r="A724" s="16">
        <v>168</v>
      </c>
      <c r="B724" s="16">
        <v>28</v>
      </c>
      <c r="C724" s="16" t="s">
        <v>7</v>
      </c>
      <c r="D724" s="16" t="s">
        <v>2</v>
      </c>
      <c r="E724" s="17">
        <v>5.2229999999999999</v>
      </c>
      <c r="F724" s="18">
        <f>78700+3000+1000</f>
        <v>82700</v>
      </c>
      <c r="N724" s="21"/>
      <c r="O724" s="22"/>
    </row>
    <row r="725" spans="1:15" s="10" customFormat="1" x14ac:dyDescent="0.25">
      <c r="A725" s="16">
        <v>168</v>
      </c>
      <c r="B725" s="16">
        <v>30</v>
      </c>
      <c r="C725" s="16">
        <v>20</v>
      </c>
      <c r="D725" s="16" t="s">
        <v>85</v>
      </c>
      <c r="E725" s="17">
        <f>5.559-1.012</f>
        <v>4.5470000000000006</v>
      </c>
      <c r="F725" s="18">
        <f>68700+1000</f>
        <v>69700</v>
      </c>
      <c r="N725" s="21"/>
      <c r="O725" s="22"/>
    </row>
    <row r="726" spans="1:15" s="10" customFormat="1" x14ac:dyDescent="0.25">
      <c r="A726" s="16">
        <v>168</v>
      </c>
      <c r="B726" s="16">
        <v>30</v>
      </c>
      <c r="C726" s="16">
        <v>35</v>
      </c>
      <c r="D726" s="16" t="s">
        <v>85</v>
      </c>
      <c r="E726" s="17">
        <v>5.6890000000000001</v>
      </c>
      <c r="F726" s="18">
        <f>69700+1000</f>
        <v>70700</v>
      </c>
      <c r="N726" s="21"/>
      <c r="O726" s="22"/>
    </row>
    <row r="727" spans="1:15" s="10" customFormat="1" x14ac:dyDescent="0.25">
      <c r="A727" s="16">
        <v>168</v>
      </c>
      <c r="B727" s="16">
        <v>30</v>
      </c>
      <c r="C727" s="16" t="s">
        <v>5</v>
      </c>
      <c r="D727" s="16" t="s">
        <v>85</v>
      </c>
      <c r="E727" s="17">
        <v>5.649</v>
      </c>
      <c r="F727" s="18">
        <f>81700+1000</f>
        <v>82700</v>
      </c>
      <c r="N727" s="21"/>
      <c r="O727" s="22"/>
    </row>
    <row r="728" spans="1:15" s="10" customFormat="1" x14ac:dyDescent="0.25">
      <c r="A728" s="16">
        <v>168</v>
      </c>
      <c r="B728" s="16">
        <v>32</v>
      </c>
      <c r="C728" s="16">
        <v>45</v>
      </c>
      <c r="D728" s="16" t="s">
        <v>2</v>
      </c>
      <c r="E728" s="17">
        <v>3.18</v>
      </c>
      <c r="F728" s="18">
        <f>66700+3000+1000</f>
        <v>70700</v>
      </c>
      <c r="N728" s="21"/>
      <c r="O728" s="22"/>
    </row>
    <row r="729" spans="1:15" s="10" customFormat="1" x14ac:dyDescent="0.25">
      <c r="A729" s="16">
        <v>168</v>
      </c>
      <c r="B729" s="16">
        <v>32</v>
      </c>
      <c r="C729" s="16">
        <v>45</v>
      </c>
      <c r="D729" s="16" t="s">
        <v>2</v>
      </c>
      <c r="E729" s="17">
        <v>0.80500000000000005</v>
      </c>
      <c r="F729" s="18">
        <f>66700+3000+1000</f>
        <v>70700</v>
      </c>
      <c r="N729" s="21"/>
      <c r="O729" s="22"/>
    </row>
    <row r="730" spans="1:15" s="10" customFormat="1" x14ac:dyDescent="0.25">
      <c r="A730" s="16">
        <v>168</v>
      </c>
      <c r="B730" s="16">
        <v>32</v>
      </c>
      <c r="C730" s="16">
        <v>45</v>
      </c>
      <c r="D730" s="16" t="s">
        <v>85</v>
      </c>
      <c r="E730" s="17">
        <v>5.1639999999999997</v>
      </c>
      <c r="F730" s="18">
        <f>69700+1000</f>
        <v>70700</v>
      </c>
      <c r="N730" s="21"/>
      <c r="O730" s="22"/>
    </row>
    <row r="731" spans="1:15" s="10" customFormat="1" x14ac:dyDescent="0.25">
      <c r="A731" s="16">
        <v>168</v>
      </c>
      <c r="B731" s="16">
        <v>32</v>
      </c>
      <c r="C731" s="16" t="s">
        <v>0</v>
      </c>
      <c r="D731" s="16" t="s">
        <v>2</v>
      </c>
      <c r="E731" s="17">
        <f>5.359-1.047-1.39-0.143-1.502</f>
        <v>1.2770000000000008</v>
      </c>
      <c r="F731" s="18">
        <f>68700+3000+1000</f>
        <v>72700</v>
      </c>
      <c r="N731" s="21"/>
      <c r="O731" s="22"/>
    </row>
    <row r="732" spans="1:15" s="10" customFormat="1" x14ac:dyDescent="0.25">
      <c r="A732" s="16">
        <v>168</v>
      </c>
      <c r="B732" s="16">
        <v>32</v>
      </c>
      <c r="C732" s="16" t="s">
        <v>0</v>
      </c>
      <c r="D732" s="16" t="s">
        <v>85</v>
      </c>
      <c r="E732" s="17">
        <v>5</v>
      </c>
      <c r="F732" s="18">
        <v>72700</v>
      </c>
      <c r="N732" s="21"/>
      <c r="O732" s="22"/>
    </row>
    <row r="733" spans="1:15" s="10" customFormat="1" x14ac:dyDescent="0.25">
      <c r="A733" s="16">
        <v>168</v>
      </c>
      <c r="B733" s="16">
        <v>36</v>
      </c>
      <c r="C733" s="16">
        <v>20</v>
      </c>
      <c r="D733" s="16" t="s">
        <v>2</v>
      </c>
      <c r="E733" s="17">
        <f>5.093-0.27-1.5-0.02-0.733</f>
        <v>2.5700000000000003</v>
      </c>
      <c r="F733" s="18">
        <f>65700+3000+1000</f>
        <v>69700</v>
      </c>
      <c r="N733" s="21"/>
      <c r="O733" s="22"/>
    </row>
    <row r="734" spans="1:15" s="10" customFormat="1" x14ac:dyDescent="0.25">
      <c r="A734" s="16">
        <v>168</v>
      </c>
      <c r="B734" s="16">
        <v>36</v>
      </c>
      <c r="C734" s="16">
        <v>35</v>
      </c>
      <c r="D734" s="16" t="s">
        <v>2</v>
      </c>
      <c r="E734" s="17">
        <f>3.195-0.698-0.66</f>
        <v>1.8369999999999997</v>
      </c>
      <c r="F734" s="18">
        <f>66700+3000+1000</f>
        <v>70700</v>
      </c>
      <c r="N734" s="21"/>
      <c r="O734" s="22"/>
    </row>
    <row r="735" spans="1:15" s="10" customFormat="1" x14ac:dyDescent="0.25">
      <c r="A735" s="16">
        <v>168</v>
      </c>
      <c r="B735" s="16">
        <v>36</v>
      </c>
      <c r="C735" s="16" t="s">
        <v>0</v>
      </c>
      <c r="D735" s="16" t="s">
        <v>85</v>
      </c>
      <c r="E735" s="17">
        <v>3.7890000000000001</v>
      </c>
      <c r="F735" s="18">
        <f>68700+3000+1000</f>
        <v>72700</v>
      </c>
      <c r="N735" s="21"/>
      <c r="O735" s="22"/>
    </row>
    <row r="736" spans="1:15" s="10" customFormat="1" x14ac:dyDescent="0.25">
      <c r="A736" s="16">
        <v>168</v>
      </c>
      <c r="B736" s="16">
        <v>36</v>
      </c>
      <c r="C736" s="16" t="s">
        <v>0</v>
      </c>
      <c r="D736" s="16" t="s">
        <v>85</v>
      </c>
      <c r="E736" s="17">
        <v>2.04</v>
      </c>
      <c r="F736" s="18">
        <f>68700+3000+1000</f>
        <v>72700</v>
      </c>
      <c r="N736" s="21"/>
      <c r="O736" s="22"/>
    </row>
    <row r="737" spans="1:15" s="10" customFormat="1" x14ac:dyDescent="0.25">
      <c r="A737" s="16">
        <v>168</v>
      </c>
      <c r="B737" s="16">
        <v>40</v>
      </c>
      <c r="C737" s="16">
        <v>20</v>
      </c>
      <c r="D737" s="16" t="s">
        <v>2</v>
      </c>
      <c r="E737" s="17">
        <v>5</v>
      </c>
      <c r="F737" s="18">
        <f>65700+3000+1000</f>
        <v>69700</v>
      </c>
      <c r="N737" s="21"/>
      <c r="O737" s="22"/>
    </row>
    <row r="738" spans="1:15" s="10" customFormat="1" x14ac:dyDescent="0.25">
      <c r="A738" s="16">
        <v>168</v>
      </c>
      <c r="B738" s="16">
        <v>40</v>
      </c>
      <c r="C738" s="16">
        <v>35</v>
      </c>
      <c r="D738" s="16" t="s">
        <v>85</v>
      </c>
      <c r="E738" s="17">
        <v>5.4640000000000004</v>
      </c>
      <c r="F738" s="18">
        <f>69700+1000</f>
        <v>70700</v>
      </c>
      <c r="N738" s="21"/>
      <c r="O738" s="22"/>
    </row>
    <row r="739" spans="1:15" s="10" customFormat="1" x14ac:dyDescent="0.25">
      <c r="A739" s="16">
        <v>168</v>
      </c>
      <c r="B739" s="16">
        <v>40</v>
      </c>
      <c r="C739" s="16">
        <v>45</v>
      </c>
      <c r="D739" s="16" t="s">
        <v>2</v>
      </c>
      <c r="E739" s="17">
        <f>4.767-0.138-0.138-0.729-0.139-0.723</f>
        <v>2.9000000000000004</v>
      </c>
      <c r="F739" s="18">
        <f>66700+3000+1000</f>
        <v>70700</v>
      </c>
      <c r="N739" s="21"/>
      <c r="O739" s="22"/>
    </row>
    <row r="740" spans="1:15" s="10" customFormat="1" x14ac:dyDescent="0.25">
      <c r="A740" s="16">
        <v>168</v>
      </c>
      <c r="B740" s="16">
        <v>40</v>
      </c>
      <c r="C740" s="16" t="s">
        <v>5</v>
      </c>
      <c r="D740" s="16" t="s">
        <v>2</v>
      </c>
      <c r="E740" s="17">
        <f>1.083-0.544</f>
        <v>0.53899999999999992</v>
      </c>
      <c r="F740" s="18">
        <f>78700+3000+1000</f>
        <v>82700</v>
      </c>
      <c r="N740" s="21"/>
      <c r="O740" s="22"/>
    </row>
    <row r="741" spans="1:15" s="10" customFormat="1" x14ac:dyDescent="0.25">
      <c r="A741" s="16">
        <v>168</v>
      </c>
      <c r="B741" s="16">
        <v>40</v>
      </c>
      <c r="C741" s="16" t="s">
        <v>5</v>
      </c>
      <c r="D741" s="16" t="s">
        <v>2</v>
      </c>
      <c r="E741" s="17">
        <v>4.0449999999999999</v>
      </c>
      <c r="F741" s="18">
        <f>78700+3000+1000</f>
        <v>82700</v>
      </c>
      <c r="N741" s="21"/>
      <c r="O741" s="22"/>
    </row>
    <row r="742" spans="1:15" s="10" customFormat="1" x14ac:dyDescent="0.25">
      <c r="A742" s="16">
        <v>168</v>
      </c>
      <c r="B742" s="16">
        <v>40</v>
      </c>
      <c r="C742" s="16" t="s">
        <v>7</v>
      </c>
      <c r="D742" s="16" t="s">
        <v>2</v>
      </c>
      <c r="E742" s="17">
        <v>4.7370000000000001</v>
      </c>
      <c r="F742" s="18">
        <f>78700+3000+1000</f>
        <v>82700</v>
      </c>
      <c r="N742" s="21"/>
      <c r="O742" s="22"/>
    </row>
    <row r="743" spans="1:15" s="10" customFormat="1" x14ac:dyDescent="0.25">
      <c r="A743" s="16">
        <v>168</v>
      </c>
      <c r="B743" s="16">
        <v>45</v>
      </c>
      <c r="C743" s="16">
        <v>20</v>
      </c>
      <c r="D743" s="16" t="s">
        <v>85</v>
      </c>
      <c r="E743" s="17">
        <f>4.418-0.211</f>
        <v>4.2069999999999999</v>
      </c>
      <c r="F743" s="18">
        <f>68700+1000</f>
        <v>69700</v>
      </c>
      <c r="N743" s="21"/>
      <c r="O743" s="22"/>
    </row>
    <row r="744" spans="1:15" s="10" customFormat="1" x14ac:dyDescent="0.25">
      <c r="A744" s="16">
        <v>168</v>
      </c>
      <c r="B744" s="16">
        <v>45</v>
      </c>
      <c r="C744" s="16">
        <v>20</v>
      </c>
      <c r="D744" s="16" t="s">
        <v>85</v>
      </c>
      <c r="E744" s="17">
        <v>0.88500000000000001</v>
      </c>
      <c r="F744" s="18">
        <v>69700</v>
      </c>
      <c r="N744" s="21"/>
      <c r="O744" s="22"/>
    </row>
    <row r="745" spans="1:15" s="10" customFormat="1" x14ac:dyDescent="0.25">
      <c r="A745" s="16">
        <v>168</v>
      </c>
      <c r="B745" s="16">
        <v>45</v>
      </c>
      <c r="C745" s="16">
        <v>45</v>
      </c>
      <c r="D745" s="16" t="s">
        <v>85</v>
      </c>
      <c r="E745" s="17">
        <v>5.1349999999999998</v>
      </c>
      <c r="F745" s="18">
        <f>69700+1000</f>
        <v>70700</v>
      </c>
      <c r="N745" s="21"/>
      <c r="O745" s="22"/>
    </row>
    <row r="746" spans="1:15" s="10" customFormat="1" x14ac:dyDescent="0.25">
      <c r="A746" s="16">
        <v>168</v>
      </c>
      <c r="B746" s="16">
        <v>45</v>
      </c>
      <c r="C746" s="16" t="s">
        <v>7</v>
      </c>
      <c r="D746" s="16" t="s">
        <v>2</v>
      </c>
      <c r="E746" s="17">
        <v>7.7649999999999997</v>
      </c>
      <c r="F746" s="18">
        <f>78700+3000+1000</f>
        <v>82700</v>
      </c>
      <c r="N746" s="21"/>
      <c r="O746" s="22"/>
    </row>
    <row r="747" spans="1:15" s="10" customFormat="1" x14ac:dyDescent="0.25">
      <c r="A747" s="16">
        <v>168</v>
      </c>
      <c r="B747" s="16">
        <v>45</v>
      </c>
      <c r="C747" s="16" t="s">
        <v>5</v>
      </c>
      <c r="D747" s="16" t="s">
        <v>85</v>
      </c>
      <c r="E747" s="17">
        <v>5</v>
      </c>
      <c r="F747" s="18">
        <v>82700</v>
      </c>
      <c r="N747" s="21"/>
      <c r="O747" s="22"/>
    </row>
    <row r="748" spans="1:15" s="10" customFormat="1" x14ac:dyDescent="0.25">
      <c r="A748" s="16">
        <v>170</v>
      </c>
      <c r="B748" s="16">
        <v>22</v>
      </c>
      <c r="C748" s="16" t="s">
        <v>7</v>
      </c>
      <c r="D748" s="16" t="s">
        <v>2</v>
      </c>
      <c r="E748" s="17">
        <f>5.09-2.2</f>
        <v>2.8899999999999997</v>
      </c>
      <c r="F748" s="18">
        <f>78700+3000+1000</f>
        <v>82700</v>
      </c>
      <c r="N748" s="21"/>
      <c r="O748" s="22"/>
    </row>
    <row r="749" spans="1:15" s="10" customFormat="1" x14ac:dyDescent="0.25">
      <c r="A749" s="16">
        <v>180</v>
      </c>
      <c r="B749" s="16">
        <v>7</v>
      </c>
      <c r="C749" s="16">
        <v>20</v>
      </c>
      <c r="D749" s="16" t="s">
        <v>85</v>
      </c>
      <c r="E749" s="17">
        <v>1.7050000000000001</v>
      </c>
      <c r="F749" s="18">
        <f>65700+3000+1000</f>
        <v>69700</v>
      </c>
      <c r="N749" s="21"/>
      <c r="O749" s="22"/>
    </row>
    <row r="750" spans="1:15" s="10" customFormat="1" x14ac:dyDescent="0.25">
      <c r="A750" s="16">
        <v>180</v>
      </c>
      <c r="B750" s="16">
        <v>7</v>
      </c>
      <c r="C750" s="16">
        <v>20</v>
      </c>
      <c r="D750" s="16" t="s">
        <v>85</v>
      </c>
      <c r="E750" s="17">
        <f>3.227-0.079</f>
        <v>3.1479999999999997</v>
      </c>
      <c r="F750" s="18">
        <f>65700+3000+1000</f>
        <v>69700</v>
      </c>
      <c r="N750" s="21"/>
      <c r="O750" s="22"/>
    </row>
    <row r="751" spans="1:15" s="10" customFormat="1" x14ac:dyDescent="0.25">
      <c r="A751" s="16">
        <v>180</v>
      </c>
      <c r="B751" s="16">
        <v>8</v>
      </c>
      <c r="C751" s="16">
        <v>20</v>
      </c>
      <c r="D751" s="16" t="s">
        <v>2</v>
      </c>
      <c r="E751" s="17">
        <f>2.778-0.01</f>
        <v>2.7680000000000002</v>
      </c>
      <c r="F751" s="18">
        <f>68700+1000</f>
        <v>69700</v>
      </c>
      <c r="N751" s="21"/>
      <c r="O751" s="22"/>
    </row>
    <row r="752" spans="1:15" s="10" customFormat="1" x14ac:dyDescent="0.25">
      <c r="A752" s="16">
        <v>180</v>
      </c>
      <c r="B752" s="16">
        <v>10</v>
      </c>
      <c r="C752" s="16" t="s">
        <v>0</v>
      </c>
      <c r="D752" s="16" t="s">
        <v>2</v>
      </c>
      <c r="E752" s="17">
        <f>3.831-0.601</f>
        <v>3.23</v>
      </c>
      <c r="F752" s="18">
        <f>68700+3000+1000</f>
        <v>72700</v>
      </c>
      <c r="N752" s="21"/>
      <c r="O752" s="22"/>
    </row>
    <row r="753" spans="1:15" s="10" customFormat="1" x14ac:dyDescent="0.25">
      <c r="A753" s="16">
        <v>180</v>
      </c>
      <c r="B753" s="16">
        <v>10</v>
      </c>
      <c r="C753" s="16" t="s">
        <v>0</v>
      </c>
      <c r="D753" s="16" t="s">
        <v>2</v>
      </c>
      <c r="E753" s="17">
        <f>1.721-0.343-0.344-0.693-0.044-0.05-0.006</f>
        <v>0.24100000000000033</v>
      </c>
      <c r="F753" s="18">
        <f>68700+3000+1000</f>
        <v>72700</v>
      </c>
      <c r="N753" s="21"/>
      <c r="O753" s="22"/>
    </row>
    <row r="754" spans="1:15" s="10" customFormat="1" x14ac:dyDescent="0.25">
      <c r="A754" s="16">
        <v>180</v>
      </c>
      <c r="B754" s="16">
        <v>10</v>
      </c>
      <c r="C754" s="16" t="s">
        <v>0</v>
      </c>
      <c r="D754" s="16" t="s">
        <v>2</v>
      </c>
      <c r="E754" s="17">
        <f>5.312-0.445</f>
        <v>4.867</v>
      </c>
      <c r="F754" s="18">
        <f>68700+3000+1000</f>
        <v>72700</v>
      </c>
      <c r="N754" s="21"/>
      <c r="O754" s="22"/>
    </row>
    <row r="755" spans="1:15" s="10" customFormat="1" x14ac:dyDescent="0.25">
      <c r="A755" s="16">
        <v>180</v>
      </c>
      <c r="B755" s="16">
        <v>10</v>
      </c>
      <c r="C755" s="16" t="s">
        <v>7</v>
      </c>
      <c r="D755" s="16" t="s">
        <v>2</v>
      </c>
      <c r="E755" s="17">
        <v>5.468</v>
      </c>
      <c r="F755" s="18">
        <f>81700+1000</f>
        <v>82700</v>
      </c>
      <c r="N755" s="21"/>
      <c r="O755" s="22"/>
    </row>
    <row r="756" spans="1:15" s="10" customFormat="1" x14ac:dyDescent="0.25">
      <c r="A756" s="16">
        <v>180</v>
      </c>
      <c r="B756" s="16">
        <v>12</v>
      </c>
      <c r="C756" s="16">
        <v>20</v>
      </c>
      <c r="D756" s="16" t="s">
        <v>2</v>
      </c>
      <c r="E756" s="17">
        <f>5.216-0.455-0.039-0.893-0.354-0.891-0.105-0.102</f>
        <v>2.3770000000000007</v>
      </c>
      <c r="F756" s="18">
        <f>65700+3000+1000</f>
        <v>69700</v>
      </c>
      <c r="N756" s="21"/>
      <c r="O756" s="22"/>
    </row>
    <row r="757" spans="1:15" s="10" customFormat="1" x14ac:dyDescent="0.25">
      <c r="A757" s="16">
        <v>180</v>
      </c>
      <c r="B757" s="16">
        <v>16</v>
      </c>
      <c r="C757" s="16">
        <v>20</v>
      </c>
      <c r="D757" s="16" t="s">
        <v>2</v>
      </c>
      <c r="E757" s="17">
        <f>5.18-0.099-0.132-0.041-0.128-0.199-0.34</f>
        <v>4.2409999999999997</v>
      </c>
      <c r="F757" s="18">
        <f>65700+3000+1000</f>
        <v>69700</v>
      </c>
      <c r="N757" s="21"/>
      <c r="O757" s="22"/>
    </row>
    <row r="758" spans="1:15" s="10" customFormat="1" x14ac:dyDescent="0.25">
      <c r="A758" s="16">
        <v>180</v>
      </c>
      <c r="B758" s="16">
        <v>16</v>
      </c>
      <c r="C758" s="16" t="s">
        <v>5</v>
      </c>
      <c r="D758" s="16" t="s">
        <v>85</v>
      </c>
      <c r="E758" s="17">
        <v>5</v>
      </c>
      <c r="F758" s="18">
        <v>82700</v>
      </c>
      <c r="N758" s="21"/>
      <c r="O758" s="22"/>
    </row>
    <row r="759" spans="1:15" s="10" customFormat="1" x14ac:dyDescent="0.25">
      <c r="A759" s="16">
        <v>180</v>
      </c>
      <c r="B759" s="16">
        <v>16</v>
      </c>
      <c r="C759" s="16" t="s">
        <v>7</v>
      </c>
      <c r="D759" s="16" t="s">
        <v>2</v>
      </c>
      <c r="E759" s="17">
        <v>2.855</v>
      </c>
      <c r="F759" s="18">
        <f>78700+3000+1000</f>
        <v>82700</v>
      </c>
      <c r="N759" s="21"/>
      <c r="O759" s="22"/>
    </row>
    <row r="760" spans="1:15" s="10" customFormat="1" x14ac:dyDescent="0.25">
      <c r="A760" s="16">
        <v>180</v>
      </c>
      <c r="B760" s="16">
        <v>20</v>
      </c>
      <c r="C760" s="16">
        <v>20</v>
      </c>
      <c r="D760" s="16" t="s">
        <v>85</v>
      </c>
      <c r="E760" s="17">
        <f>5.08-0.475-1.412</f>
        <v>3.1930000000000005</v>
      </c>
      <c r="F760" s="18">
        <f>68700+1000</f>
        <v>69700</v>
      </c>
      <c r="N760" s="21"/>
      <c r="O760" s="22"/>
    </row>
    <row r="761" spans="1:15" s="10" customFormat="1" x14ac:dyDescent="0.25">
      <c r="A761" s="16">
        <v>180</v>
      </c>
      <c r="B761" s="16">
        <v>20</v>
      </c>
      <c r="C761" s="16">
        <v>45</v>
      </c>
      <c r="D761" s="16" t="s">
        <v>85</v>
      </c>
      <c r="E761" s="17">
        <v>5.5410000000000004</v>
      </c>
      <c r="F761" s="18">
        <f>69700+1000</f>
        <v>70700</v>
      </c>
      <c r="N761" s="21"/>
      <c r="O761" s="22"/>
    </row>
    <row r="762" spans="1:15" s="10" customFormat="1" x14ac:dyDescent="0.25">
      <c r="A762" s="16">
        <v>180</v>
      </c>
      <c r="B762" s="16">
        <v>20</v>
      </c>
      <c r="C762" s="16" t="s">
        <v>5</v>
      </c>
      <c r="D762" s="16" t="s">
        <v>2</v>
      </c>
      <c r="E762" s="17">
        <v>4.226</v>
      </c>
      <c r="F762" s="18">
        <f>78700+3000+1000</f>
        <v>82700</v>
      </c>
      <c r="N762" s="21"/>
      <c r="O762" s="22"/>
    </row>
    <row r="763" spans="1:15" s="10" customFormat="1" x14ac:dyDescent="0.25">
      <c r="A763" s="16">
        <v>180</v>
      </c>
      <c r="B763" s="16">
        <v>20</v>
      </c>
      <c r="C763" s="16" t="s">
        <v>7</v>
      </c>
      <c r="D763" s="16" t="s">
        <v>2</v>
      </c>
      <c r="E763" s="17">
        <v>0.48799999999999999</v>
      </c>
      <c r="F763" s="18">
        <f>78700+3000+1000</f>
        <v>82700</v>
      </c>
      <c r="N763" s="21"/>
      <c r="O763" s="22"/>
    </row>
    <row r="764" spans="1:15" s="10" customFormat="1" x14ac:dyDescent="0.25">
      <c r="A764" s="16">
        <v>180</v>
      </c>
      <c r="B764" s="16">
        <v>20</v>
      </c>
      <c r="C764" s="16" t="s">
        <v>7</v>
      </c>
      <c r="D764" s="16" t="s">
        <v>2</v>
      </c>
      <c r="E764" s="17">
        <v>5.234</v>
      </c>
      <c r="F764" s="18">
        <f>78700+3000+1000</f>
        <v>82700</v>
      </c>
      <c r="N764" s="21"/>
      <c r="O764" s="22"/>
    </row>
    <row r="765" spans="1:15" s="10" customFormat="1" x14ac:dyDescent="0.25">
      <c r="A765" s="16">
        <v>180</v>
      </c>
      <c r="B765" s="16">
        <v>22</v>
      </c>
      <c r="C765" s="16" t="s">
        <v>0</v>
      </c>
      <c r="D765" s="16" t="s">
        <v>85</v>
      </c>
      <c r="E765" s="17">
        <f>5.166-0.524</f>
        <v>4.6420000000000003</v>
      </c>
      <c r="F765" s="18">
        <f>68700+3000+1000</f>
        <v>72700</v>
      </c>
      <c r="N765" s="21"/>
      <c r="O765" s="22"/>
    </row>
    <row r="766" spans="1:15" s="10" customFormat="1" x14ac:dyDescent="0.25">
      <c r="A766" s="16">
        <v>180</v>
      </c>
      <c r="B766" s="16">
        <v>25</v>
      </c>
      <c r="C766" s="16">
        <v>20</v>
      </c>
      <c r="D766" s="16" t="s">
        <v>2</v>
      </c>
      <c r="E766" s="17">
        <f>4.137-0.29-0.202-0.202-0.071-0.073-0.54-0.421-1.315-0.314-0.1</f>
        <v>0.60899999999999965</v>
      </c>
      <c r="F766" s="18">
        <f>65700+3000+1000</f>
        <v>69700</v>
      </c>
      <c r="N766" s="21"/>
      <c r="O766" s="22"/>
    </row>
    <row r="767" spans="1:15" s="10" customFormat="1" x14ac:dyDescent="0.25">
      <c r="A767" s="16">
        <v>180</v>
      </c>
      <c r="B767" s="16">
        <v>25</v>
      </c>
      <c r="C767" s="16">
        <v>20</v>
      </c>
      <c r="D767" s="16" t="s">
        <v>85</v>
      </c>
      <c r="E767" s="17">
        <v>5.4480000000000004</v>
      </c>
      <c r="F767" s="18">
        <f>68700+1000</f>
        <v>69700</v>
      </c>
      <c r="N767" s="21"/>
      <c r="O767" s="22"/>
    </row>
    <row r="768" spans="1:15" s="10" customFormat="1" x14ac:dyDescent="0.25">
      <c r="A768" s="16">
        <v>180</v>
      </c>
      <c r="B768" s="16">
        <v>25</v>
      </c>
      <c r="C768" s="16">
        <v>35</v>
      </c>
      <c r="D768" s="16" t="s">
        <v>85</v>
      </c>
      <c r="E768" s="17">
        <v>5.65</v>
      </c>
      <c r="F768" s="18">
        <f>69700+1000</f>
        <v>70700</v>
      </c>
      <c r="N768" s="21"/>
      <c r="O768" s="22"/>
    </row>
    <row r="769" spans="1:15" s="10" customFormat="1" x14ac:dyDescent="0.25">
      <c r="A769" s="16">
        <v>180</v>
      </c>
      <c r="B769" s="16">
        <v>25</v>
      </c>
      <c r="C769" s="16">
        <v>45</v>
      </c>
      <c r="D769" s="16" t="s">
        <v>2</v>
      </c>
      <c r="E769" s="17">
        <f>4.777-0.25-0.105-0.865-0.435-0.178-0.035</f>
        <v>2.9089999999999994</v>
      </c>
      <c r="F769" s="18">
        <f>66700+3000+1000</f>
        <v>70700</v>
      </c>
      <c r="N769" s="21"/>
      <c r="O769" s="22"/>
    </row>
    <row r="770" spans="1:15" s="10" customFormat="1" x14ac:dyDescent="0.25">
      <c r="A770" s="16">
        <v>180</v>
      </c>
      <c r="B770" s="16">
        <v>25</v>
      </c>
      <c r="C770" s="16" t="s">
        <v>5</v>
      </c>
      <c r="D770" s="16" t="s">
        <v>2</v>
      </c>
      <c r="E770" s="17">
        <f>5.25-1.259-0.296</f>
        <v>3.6950000000000003</v>
      </c>
      <c r="F770" s="18">
        <f>78700+3000+1000</f>
        <v>82700</v>
      </c>
      <c r="N770" s="21"/>
      <c r="O770" s="22"/>
    </row>
    <row r="771" spans="1:15" s="10" customFormat="1" x14ac:dyDescent="0.25">
      <c r="A771" s="16">
        <v>180</v>
      </c>
      <c r="B771" s="16">
        <v>26</v>
      </c>
      <c r="C771" s="16" t="s">
        <v>7</v>
      </c>
      <c r="D771" s="16" t="s">
        <v>2</v>
      </c>
      <c r="E771" s="17">
        <v>5.9669999999999996</v>
      </c>
      <c r="F771" s="18">
        <f>81700+1000</f>
        <v>82700</v>
      </c>
      <c r="N771" s="21"/>
      <c r="O771" s="22"/>
    </row>
    <row r="772" spans="1:15" s="10" customFormat="1" x14ac:dyDescent="0.25">
      <c r="A772" s="16">
        <v>180</v>
      </c>
      <c r="B772" s="16">
        <v>28</v>
      </c>
      <c r="C772" s="16">
        <v>35</v>
      </c>
      <c r="D772" s="16" t="s">
        <v>85</v>
      </c>
      <c r="E772" s="17">
        <v>5.5620000000000003</v>
      </c>
      <c r="F772" s="18">
        <f>69700+1000</f>
        <v>70700</v>
      </c>
      <c r="N772" s="21"/>
      <c r="O772" s="22"/>
    </row>
    <row r="773" spans="1:15" s="10" customFormat="1" x14ac:dyDescent="0.25">
      <c r="A773" s="16">
        <v>180</v>
      </c>
      <c r="B773" s="16">
        <v>28</v>
      </c>
      <c r="C773" s="16" t="s">
        <v>7</v>
      </c>
      <c r="D773" s="16" t="s">
        <v>2</v>
      </c>
      <c r="E773" s="17">
        <v>5.7320000000000002</v>
      </c>
      <c r="F773" s="18">
        <f>78700+3000+1000</f>
        <v>82700</v>
      </c>
      <c r="N773" s="21"/>
      <c r="O773" s="22"/>
    </row>
    <row r="774" spans="1:15" s="10" customFormat="1" x14ac:dyDescent="0.25">
      <c r="A774" s="16">
        <v>180</v>
      </c>
      <c r="B774" s="16">
        <v>30</v>
      </c>
      <c r="C774" s="16">
        <v>20</v>
      </c>
      <c r="D774" s="16" t="s">
        <v>2</v>
      </c>
      <c r="E774" s="17">
        <f>1.702-0.198</f>
        <v>1.504</v>
      </c>
      <c r="F774" s="18">
        <f>68700+1000</f>
        <v>69700</v>
      </c>
      <c r="N774" s="21"/>
      <c r="O774" s="22"/>
    </row>
    <row r="775" spans="1:15" s="10" customFormat="1" x14ac:dyDescent="0.25">
      <c r="A775" s="16">
        <v>180</v>
      </c>
      <c r="B775" s="16">
        <v>30</v>
      </c>
      <c r="C775" s="16">
        <v>20</v>
      </c>
      <c r="D775" s="16" t="s">
        <v>85</v>
      </c>
      <c r="E775" s="17">
        <v>5</v>
      </c>
      <c r="F775" s="18">
        <f>68700+1000</f>
        <v>69700</v>
      </c>
      <c r="N775" s="21"/>
      <c r="O775" s="22"/>
    </row>
    <row r="776" spans="1:15" s="10" customFormat="1" x14ac:dyDescent="0.25">
      <c r="A776" s="16">
        <v>180</v>
      </c>
      <c r="B776" s="16">
        <v>30</v>
      </c>
      <c r="C776" s="16">
        <v>45</v>
      </c>
      <c r="D776" s="16" t="s">
        <v>2</v>
      </c>
      <c r="E776" s="17">
        <f>4.912-0.818-0.822-0.819-1.623</f>
        <v>0.83000000000000029</v>
      </c>
      <c r="F776" s="18">
        <f>66700+3000+1000</f>
        <v>70700</v>
      </c>
      <c r="N776" s="21"/>
      <c r="O776" s="22"/>
    </row>
    <row r="777" spans="1:15" s="10" customFormat="1" x14ac:dyDescent="0.25">
      <c r="A777" s="16">
        <v>180</v>
      </c>
      <c r="B777" s="16">
        <v>32</v>
      </c>
      <c r="C777" s="16">
        <v>20</v>
      </c>
      <c r="D777" s="16" t="s">
        <v>2</v>
      </c>
      <c r="E777" s="17">
        <f>2.147-0.83</f>
        <v>1.3169999999999997</v>
      </c>
      <c r="F777" s="18">
        <f>65700+3000+1000</f>
        <v>69700</v>
      </c>
      <c r="N777" s="21"/>
      <c r="O777" s="22"/>
    </row>
    <row r="778" spans="1:15" s="10" customFormat="1" x14ac:dyDescent="0.25">
      <c r="A778" s="16">
        <v>180</v>
      </c>
      <c r="B778" s="16">
        <v>32</v>
      </c>
      <c r="C778" s="16">
        <v>35</v>
      </c>
      <c r="D778" s="16" t="s">
        <v>85</v>
      </c>
      <c r="E778" s="17">
        <v>5.6719999999999997</v>
      </c>
      <c r="F778" s="18">
        <f>69700+1000</f>
        <v>70700</v>
      </c>
      <c r="N778" s="21"/>
      <c r="O778" s="22"/>
    </row>
    <row r="779" spans="1:15" s="10" customFormat="1" x14ac:dyDescent="0.25">
      <c r="A779" s="16">
        <v>180</v>
      </c>
      <c r="B779" s="16">
        <v>36</v>
      </c>
      <c r="C779" s="16">
        <v>20</v>
      </c>
      <c r="D779" s="16" t="s">
        <v>2</v>
      </c>
      <c r="E779" s="17">
        <f>5.04-1.682-0.57-0.289-0.56</f>
        <v>1.9390000000000001</v>
      </c>
      <c r="F779" s="18">
        <f>65700+3000+1000</f>
        <v>69700</v>
      </c>
      <c r="N779" s="21"/>
      <c r="O779" s="22"/>
    </row>
    <row r="780" spans="1:15" s="10" customFormat="1" x14ac:dyDescent="0.25">
      <c r="A780" s="16">
        <v>180</v>
      </c>
      <c r="B780" s="16">
        <v>36</v>
      </c>
      <c r="C780" s="16">
        <v>20</v>
      </c>
      <c r="D780" s="16" t="s">
        <v>85</v>
      </c>
      <c r="E780" s="17">
        <v>5.3449999999999998</v>
      </c>
      <c r="F780" s="18">
        <f>68700+1000</f>
        <v>69700</v>
      </c>
      <c r="N780" s="21"/>
      <c r="O780" s="22"/>
    </row>
    <row r="781" spans="1:15" s="10" customFormat="1" x14ac:dyDescent="0.25">
      <c r="A781" s="16">
        <v>180</v>
      </c>
      <c r="B781" s="16">
        <v>36</v>
      </c>
      <c r="C781" s="16">
        <v>35</v>
      </c>
      <c r="D781" s="16" t="s">
        <v>85</v>
      </c>
      <c r="E781" s="17">
        <v>5.5259999999999998</v>
      </c>
      <c r="F781" s="18">
        <f>69700+1000</f>
        <v>70700</v>
      </c>
      <c r="N781" s="21"/>
      <c r="O781" s="22"/>
    </row>
    <row r="782" spans="1:15" s="10" customFormat="1" x14ac:dyDescent="0.25">
      <c r="A782" s="16">
        <v>180</v>
      </c>
      <c r="B782" s="16">
        <v>36</v>
      </c>
      <c r="C782" s="16">
        <v>45</v>
      </c>
      <c r="D782" s="16" t="s">
        <v>2</v>
      </c>
      <c r="E782" s="17">
        <f>4.977-0.602-0.775-0.769</f>
        <v>2.831</v>
      </c>
      <c r="F782" s="18">
        <f>66700+3000+1000</f>
        <v>70700</v>
      </c>
      <c r="N782" s="21"/>
      <c r="O782" s="22"/>
    </row>
    <row r="783" spans="1:15" s="10" customFormat="1" x14ac:dyDescent="0.25">
      <c r="A783" s="16">
        <v>180</v>
      </c>
      <c r="B783" s="16">
        <v>36</v>
      </c>
      <c r="C783" s="16" t="s">
        <v>7</v>
      </c>
      <c r="D783" s="16" t="s">
        <v>2</v>
      </c>
      <c r="E783" s="17">
        <v>4.8099999999999996</v>
      </c>
      <c r="F783" s="18">
        <f>81700+1000</f>
        <v>82700</v>
      </c>
      <c r="N783" s="21"/>
      <c r="O783" s="22"/>
    </row>
    <row r="784" spans="1:15" s="10" customFormat="1" x14ac:dyDescent="0.25">
      <c r="A784" s="16">
        <v>180</v>
      </c>
      <c r="B784" s="16">
        <v>40</v>
      </c>
      <c r="C784" s="16">
        <v>20</v>
      </c>
      <c r="D784" s="16" t="s">
        <v>85</v>
      </c>
      <c r="E784" s="17">
        <f>9.793-0.522-0.56</f>
        <v>8.7109999999999985</v>
      </c>
      <c r="F784" s="18">
        <f>68700+1000</f>
        <v>69700</v>
      </c>
      <c r="N784" s="21"/>
      <c r="O784" s="22"/>
    </row>
    <row r="785" spans="1:15" s="10" customFormat="1" x14ac:dyDescent="0.25">
      <c r="A785" s="16">
        <v>180</v>
      </c>
      <c r="B785" s="16">
        <v>40</v>
      </c>
      <c r="C785" s="16">
        <v>35</v>
      </c>
      <c r="D785" s="16" t="s">
        <v>85</v>
      </c>
      <c r="E785" s="17">
        <v>5.3540000000000001</v>
      </c>
      <c r="F785" s="18">
        <f>69700+1000</f>
        <v>70700</v>
      </c>
      <c r="N785" s="21"/>
      <c r="O785" s="22"/>
    </row>
    <row r="786" spans="1:15" s="10" customFormat="1" x14ac:dyDescent="0.25">
      <c r="A786" s="16">
        <v>180</v>
      </c>
      <c r="B786" s="16">
        <v>40</v>
      </c>
      <c r="C786" s="16">
        <v>45</v>
      </c>
      <c r="D786" s="16" t="s">
        <v>85</v>
      </c>
      <c r="E786" s="17">
        <f>5.464-1.864</f>
        <v>3.6000000000000005</v>
      </c>
      <c r="F786" s="18">
        <f>69700+1000</f>
        <v>70700</v>
      </c>
      <c r="N786" s="21"/>
      <c r="O786" s="22"/>
    </row>
    <row r="787" spans="1:15" s="10" customFormat="1" x14ac:dyDescent="0.25">
      <c r="A787" s="16">
        <v>180</v>
      </c>
      <c r="B787" s="16">
        <v>40</v>
      </c>
      <c r="C787" s="16" t="s">
        <v>0</v>
      </c>
      <c r="D787" s="16" t="s">
        <v>85</v>
      </c>
      <c r="E787" s="17">
        <v>5.3780000000000001</v>
      </c>
      <c r="F787" s="18">
        <f>68700+3000+1000</f>
        <v>72700</v>
      </c>
      <c r="N787" s="21"/>
      <c r="O787" s="22"/>
    </row>
    <row r="788" spans="1:15" s="10" customFormat="1" x14ac:dyDescent="0.25">
      <c r="A788" s="16">
        <v>180</v>
      </c>
      <c r="B788" s="16">
        <v>40</v>
      </c>
      <c r="C788" s="16" t="s">
        <v>5</v>
      </c>
      <c r="D788" s="16" t="s">
        <v>2</v>
      </c>
      <c r="E788" s="17">
        <f>4.724-1.643</f>
        <v>3.0810000000000004</v>
      </c>
      <c r="F788" s="18">
        <v>82700</v>
      </c>
      <c r="N788" s="21"/>
      <c r="O788" s="22"/>
    </row>
    <row r="789" spans="1:15" s="10" customFormat="1" x14ac:dyDescent="0.25">
      <c r="A789" s="16">
        <v>180</v>
      </c>
      <c r="B789" s="16">
        <v>40</v>
      </c>
      <c r="C789" s="16" t="s">
        <v>5</v>
      </c>
      <c r="D789" s="16" t="s">
        <v>85</v>
      </c>
      <c r="E789" s="17">
        <v>5</v>
      </c>
      <c r="F789" s="18">
        <v>82700</v>
      </c>
      <c r="N789" s="21"/>
      <c r="O789" s="22"/>
    </row>
    <row r="790" spans="1:15" s="10" customFormat="1" x14ac:dyDescent="0.25">
      <c r="A790" s="16">
        <v>180</v>
      </c>
      <c r="B790" s="16">
        <v>45</v>
      </c>
      <c r="C790" s="16">
        <v>20</v>
      </c>
      <c r="D790" s="16" t="s">
        <v>85</v>
      </c>
      <c r="E790" s="17">
        <v>5</v>
      </c>
      <c r="F790" s="18">
        <f>68700+1000</f>
        <v>69700</v>
      </c>
      <c r="N790" s="21"/>
      <c r="O790" s="22"/>
    </row>
    <row r="791" spans="1:15" s="10" customFormat="1" x14ac:dyDescent="0.25">
      <c r="A791" s="16">
        <v>180</v>
      </c>
      <c r="B791" s="16">
        <v>45</v>
      </c>
      <c r="C791" s="16">
        <v>45</v>
      </c>
      <c r="D791" s="16" t="s">
        <v>2</v>
      </c>
      <c r="E791" s="17">
        <f>4.88-0.479-0.81-0.318+0.318-1.625-1.65</f>
        <v>0.31599999999999984</v>
      </c>
      <c r="F791" s="18">
        <f>66700+3000+1000</f>
        <v>70700</v>
      </c>
      <c r="N791" s="21"/>
      <c r="O791" s="22"/>
    </row>
    <row r="792" spans="1:15" s="10" customFormat="1" x14ac:dyDescent="0.25">
      <c r="A792" s="16">
        <v>180</v>
      </c>
      <c r="B792" s="16">
        <v>45</v>
      </c>
      <c r="C792" s="16">
        <v>45</v>
      </c>
      <c r="D792" s="16" t="s">
        <v>85</v>
      </c>
      <c r="E792" s="17">
        <v>5.101</v>
      </c>
      <c r="F792" s="18">
        <f>69700+1000</f>
        <v>70700</v>
      </c>
      <c r="N792" s="21"/>
      <c r="O792" s="22"/>
    </row>
    <row r="793" spans="1:15" s="10" customFormat="1" x14ac:dyDescent="0.25">
      <c r="A793" s="16">
        <v>180</v>
      </c>
      <c r="B793" s="16">
        <v>45</v>
      </c>
      <c r="C793" s="16" t="s">
        <v>0</v>
      </c>
      <c r="D793" s="16" t="s">
        <v>2</v>
      </c>
      <c r="E793" s="17">
        <v>3.9020000000000001</v>
      </c>
      <c r="F793" s="18">
        <f>68700+3000+1000</f>
        <v>72700</v>
      </c>
      <c r="N793" s="21"/>
      <c r="O793" s="22"/>
    </row>
    <row r="794" spans="1:15" s="10" customFormat="1" x14ac:dyDescent="0.25">
      <c r="A794" s="16">
        <v>180</v>
      </c>
      <c r="B794" s="16">
        <v>45</v>
      </c>
      <c r="C794" s="16" t="s">
        <v>0</v>
      </c>
      <c r="D794" s="16" t="s">
        <v>2</v>
      </c>
      <c r="E794" s="17">
        <v>1</v>
      </c>
      <c r="F794" s="18">
        <f>68700+3000+1000</f>
        <v>72700</v>
      </c>
      <c r="N794" s="21"/>
      <c r="O794" s="22"/>
    </row>
    <row r="795" spans="1:15" s="10" customFormat="1" x14ac:dyDescent="0.25">
      <c r="A795" s="16">
        <v>180</v>
      </c>
      <c r="B795" s="16">
        <v>45</v>
      </c>
      <c r="C795" s="16" t="s">
        <v>5</v>
      </c>
      <c r="D795" s="16" t="s">
        <v>85</v>
      </c>
      <c r="E795" s="17">
        <v>5</v>
      </c>
      <c r="F795" s="18">
        <v>82700</v>
      </c>
      <c r="N795" s="21"/>
      <c r="O795" s="22"/>
    </row>
    <row r="796" spans="1:15" s="10" customFormat="1" x14ac:dyDescent="0.25">
      <c r="A796" s="16">
        <v>194</v>
      </c>
      <c r="B796" s="16">
        <v>10</v>
      </c>
      <c r="C796" s="16">
        <v>20</v>
      </c>
      <c r="D796" s="16" t="s">
        <v>2</v>
      </c>
      <c r="E796" s="17">
        <f>2.4-0.03-0.017-0.478-0.028-0.05-0.048-0.029</f>
        <v>1.7200000000000002</v>
      </c>
      <c r="F796" s="18">
        <f>65700+3000+1000</f>
        <v>69700</v>
      </c>
      <c r="N796" s="21"/>
      <c r="O796" s="22"/>
    </row>
    <row r="797" spans="1:15" s="10" customFormat="1" x14ac:dyDescent="0.25">
      <c r="A797" s="16">
        <v>194</v>
      </c>
      <c r="B797" s="16">
        <v>10</v>
      </c>
      <c r="C797" s="16">
        <v>20</v>
      </c>
      <c r="D797" s="16" t="s">
        <v>28</v>
      </c>
      <c r="E797" s="17">
        <v>2.91</v>
      </c>
      <c r="F797" s="18">
        <f>86000+1000</f>
        <v>87000</v>
      </c>
      <c r="N797" s="21"/>
      <c r="O797" s="22"/>
    </row>
    <row r="798" spans="1:15" s="10" customFormat="1" x14ac:dyDescent="0.25">
      <c r="A798" s="16">
        <v>194</v>
      </c>
      <c r="B798" s="16">
        <v>10</v>
      </c>
      <c r="C798" s="16">
        <v>20</v>
      </c>
      <c r="D798" s="16" t="s">
        <v>28</v>
      </c>
      <c r="E798" s="17">
        <f>0.248-0.036</f>
        <v>0.21199999999999999</v>
      </c>
      <c r="F798" s="18">
        <f>86000+1000</f>
        <v>87000</v>
      </c>
      <c r="N798" s="21"/>
      <c r="O798" s="22"/>
    </row>
    <row r="799" spans="1:15" s="10" customFormat="1" x14ac:dyDescent="0.25">
      <c r="A799" s="16">
        <v>194</v>
      </c>
      <c r="B799" s="16">
        <v>10</v>
      </c>
      <c r="C799" s="16">
        <v>20</v>
      </c>
      <c r="D799" s="16" t="s">
        <v>2</v>
      </c>
      <c r="E799" s="17">
        <f>11.721-2.96</f>
        <v>8.7609999999999992</v>
      </c>
      <c r="F799" s="18">
        <f>65700+3000+1000</f>
        <v>69700</v>
      </c>
      <c r="N799" s="21"/>
      <c r="O799" s="22"/>
    </row>
    <row r="800" spans="1:15" s="10" customFormat="1" x14ac:dyDescent="0.25">
      <c r="A800" s="16">
        <v>194</v>
      </c>
      <c r="B800" s="16">
        <v>10</v>
      </c>
      <c r="C800" s="16" t="s">
        <v>0</v>
      </c>
      <c r="D800" s="16" t="s">
        <v>2</v>
      </c>
      <c r="E800" s="17">
        <f>9.898-0.478</f>
        <v>9.42</v>
      </c>
      <c r="F800" s="18">
        <f>68700+3000+1000</f>
        <v>72700</v>
      </c>
      <c r="N800" s="21"/>
      <c r="O800" s="22"/>
    </row>
    <row r="801" spans="1:15" s="10" customFormat="1" x14ac:dyDescent="0.25">
      <c r="A801" s="16">
        <v>194</v>
      </c>
      <c r="B801" s="16">
        <v>10</v>
      </c>
      <c r="C801" s="16" t="s">
        <v>0</v>
      </c>
      <c r="D801" s="16" t="s">
        <v>85</v>
      </c>
      <c r="E801" s="17">
        <v>5.3079999999999998</v>
      </c>
      <c r="F801" s="18">
        <f>68700+3000+1000</f>
        <v>72700</v>
      </c>
      <c r="N801" s="21"/>
      <c r="O801" s="22"/>
    </row>
    <row r="802" spans="1:15" s="10" customFormat="1" x14ac:dyDescent="0.25">
      <c r="A802" s="16">
        <v>194</v>
      </c>
      <c r="B802" s="16">
        <v>11</v>
      </c>
      <c r="C802" s="16" t="s">
        <v>41</v>
      </c>
      <c r="D802" s="16" t="s">
        <v>4</v>
      </c>
      <c r="E802" s="17">
        <v>4.8849999999999998</v>
      </c>
      <c r="F802" s="18">
        <f>95700+1000</f>
        <v>96700</v>
      </c>
      <c r="N802" s="21"/>
      <c r="O802" s="22"/>
    </row>
    <row r="803" spans="1:15" s="10" customFormat="1" x14ac:dyDescent="0.25">
      <c r="A803" s="16">
        <v>194</v>
      </c>
      <c r="B803" s="16">
        <v>12</v>
      </c>
      <c r="C803" s="16" t="s">
        <v>5</v>
      </c>
      <c r="D803" s="16" t="s">
        <v>2</v>
      </c>
      <c r="E803" s="17">
        <f>4.613-1.295-1.154-0.581-0.578-0.575+0.003</f>
        <v>0.43300000000000083</v>
      </c>
      <c r="F803" s="18">
        <f>78700+3000+1000</f>
        <v>82700</v>
      </c>
      <c r="N803" s="21"/>
      <c r="O803" s="22"/>
    </row>
    <row r="804" spans="1:15" s="10" customFormat="1" x14ac:dyDescent="0.25">
      <c r="A804" s="16">
        <v>194</v>
      </c>
      <c r="B804" s="16">
        <v>12</v>
      </c>
      <c r="C804" s="16" t="s">
        <v>5</v>
      </c>
      <c r="D804" s="16" t="s">
        <v>85</v>
      </c>
      <c r="E804" s="17">
        <v>5</v>
      </c>
      <c r="F804" s="18">
        <v>82700</v>
      </c>
      <c r="N804" s="21"/>
      <c r="O804" s="22"/>
    </row>
    <row r="805" spans="1:15" s="10" customFormat="1" x14ac:dyDescent="0.25">
      <c r="A805" s="16">
        <v>194</v>
      </c>
      <c r="B805" s="16">
        <v>12</v>
      </c>
      <c r="C805" s="16" t="s">
        <v>0</v>
      </c>
      <c r="D805" s="16" t="s">
        <v>2</v>
      </c>
      <c r="E805" s="17">
        <f>11.004-0.523-0.055-0.974-0.47-2.53-0.992</f>
        <v>5.46</v>
      </c>
      <c r="F805" s="18">
        <f>68700+3000+1000</f>
        <v>72700</v>
      </c>
      <c r="N805" s="21"/>
      <c r="O805" s="22"/>
    </row>
    <row r="806" spans="1:15" s="10" customFormat="1" x14ac:dyDescent="0.25">
      <c r="A806" s="16">
        <v>194</v>
      </c>
      <c r="B806" s="16">
        <v>16</v>
      </c>
      <c r="C806" s="16">
        <v>20</v>
      </c>
      <c r="D806" s="16" t="s">
        <v>2</v>
      </c>
      <c r="E806" s="17">
        <f>4.937-0.072-0.221-0.334-1.237</f>
        <v>3.0730000000000004</v>
      </c>
      <c r="F806" s="18">
        <f>65700+3000+1000</f>
        <v>69700</v>
      </c>
      <c r="N806" s="21"/>
      <c r="O806" s="22"/>
    </row>
    <row r="807" spans="1:15" s="10" customFormat="1" x14ac:dyDescent="0.25">
      <c r="A807" s="16">
        <v>194</v>
      </c>
      <c r="B807" s="16">
        <v>16</v>
      </c>
      <c r="C807" s="16">
        <v>20</v>
      </c>
      <c r="D807" s="16" t="s">
        <v>2</v>
      </c>
      <c r="E807" s="17">
        <v>0.627</v>
      </c>
      <c r="F807" s="18">
        <f>65700+3000+1000</f>
        <v>69700</v>
      </c>
      <c r="N807" s="21"/>
      <c r="O807" s="22"/>
    </row>
    <row r="808" spans="1:15" s="10" customFormat="1" x14ac:dyDescent="0.25">
      <c r="A808" s="16">
        <v>194</v>
      </c>
      <c r="B808" s="16">
        <v>16</v>
      </c>
      <c r="C808" s="16" t="s">
        <v>0</v>
      </c>
      <c r="D808" s="16" t="s">
        <v>2</v>
      </c>
      <c r="E808" s="17">
        <f>5.561-1.019-0.512-0.129</f>
        <v>3.9009999999999994</v>
      </c>
      <c r="F808" s="18">
        <f>68700+3000+1000</f>
        <v>72700</v>
      </c>
      <c r="N808" s="21"/>
      <c r="O808" s="22"/>
    </row>
    <row r="809" spans="1:15" s="10" customFormat="1" x14ac:dyDescent="0.25">
      <c r="A809" s="16">
        <v>194</v>
      </c>
      <c r="B809" s="16">
        <v>18</v>
      </c>
      <c r="C809" s="16">
        <v>20</v>
      </c>
      <c r="D809" s="16" t="s">
        <v>2</v>
      </c>
      <c r="E809" s="17">
        <v>0.25</v>
      </c>
      <c r="F809" s="18">
        <f>65700+3000+1000</f>
        <v>69700</v>
      </c>
      <c r="N809" s="21"/>
      <c r="O809" s="22"/>
    </row>
    <row r="810" spans="1:15" s="10" customFormat="1" x14ac:dyDescent="0.25">
      <c r="A810" s="16">
        <v>194</v>
      </c>
      <c r="B810" s="16">
        <v>18</v>
      </c>
      <c r="C810" s="16">
        <v>45</v>
      </c>
      <c r="D810" s="16" t="s">
        <v>2</v>
      </c>
      <c r="E810" s="17">
        <f>10.676-4.09-0.082-0.19-1.058-0.416-0.157</f>
        <v>4.6829999999999998</v>
      </c>
      <c r="F810" s="18">
        <f>66700+3000+1000</f>
        <v>70700</v>
      </c>
      <c r="N810" s="21"/>
      <c r="O810" s="22"/>
    </row>
    <row r="811" spans="1:15" s="10" customFormat="1" x14ac:dyDescent="0.25">
      <c r="A811" s="16">
        <v>194</v>
      </c>
      <c r="B811" s="16">
        <v>18</v>
      </c>
      <c r="C811" s="16" t="s">
        <v>5</v>
      </c>
      <c r="D811" s="16" t="s">
        <v>2</v>
      </c>
      <c r="E811" s="17">
        <v>2.9329999999999998</v>
      </c>
      <c r="F811" s="18">
        <f>78700+3000+1000</f>
        <v>82700</v>
      </c>
      <c r="N811" s="21"/>
      <c r="O811" s="22"/>
    </row>
    <row r="812" spans="1:15" s="10" customFormat="1" x14ac:dyDescent="0.25">
      <c r="A812" s="16">
        <v>194</v>
      </c>
      <c r="B812" s="16">
        <v>18</v>
      </c>
      <c r="C812" s="16" t="s">
        <v>5</v>
      </c>
      <c r="D812" s="16" t="s">
        <v>2</v>
      </c>
      <c r="E812" s="17">
        <v>1.2549999999999999</v>
      </c>
      <c r="F812" s="18">
        <f>78700+3000+1000</f>
        <v>82700</v>
      </c>
      <c r="N812" s="21"/>
      <c r="O812" s="22"/>
    </row>
    <row r="813" spans="1:15" s="10" customFormat="1" x14ac:dyDescent="0.25">
      <c r="A813" s="16">
        <v>194</v>
      </c>
      <c r="B813" s="16">
        <v>18</v>
      </c>
      <c r="C813" s="16" t="s">
        <v>5</v>
      </c>
      <c r="D813" s="16" t="s">
        <v>2</v>
      </c>
      <c r="E813" s="17">
        <v>1.2569999999999999</v>
      </c>
      <c r="F813" s="18">
        <f>78700+3000+1000</f>
        <v>82700</v>
      </c>
      <c r="N813" s="21"/>
      <c r="O813" s="22"/>
    </row>
    <row r="814" spans="1:15" s="10" customFormat="1" x14ac:dyDescent="0.25">
      <c r="A814" s="16">
        <v>194</v>
      </c>
      <c r="B814" s="16">
        <v>18</v>
      </c>
      <c r="C814" s="16" t="s">
        <v>5</v>
      </c>
      <c r="D814" s="16" t="s">
        <v>2</v>
      </c>
      <c r="E814" s="17">
        <v>0.52700000000000002</v>
      </c>
      <c r="F814" s="18">
        <f>78700+3000+1000</f>
        <v>82700</v>
      </c>
      <c r="N814" s="21"/>
      <c r="O814" s="22"/>
    </row>
    <row r="815" spans="1:15" s="10" customFormat="1" x14ac:dyDescent="0.25">
      <c r="A815" s="16">
        <v>194</v>
      </c>
      <c r="B815" s="16">
        <v>20</v>
      </c>
      <c r="C815" s="16">
        <v>20</v>
      </c>
      <c r="D815" s="16" t="s">
        <v>2</v>
      </c>
      <c r="E815" s="17">
        <f>7.753+0.221-0.261-0.693-0.088-2.814-0.134-0.088-2.161-0.048-0.06-0.516</f>
        <v>1.1110000000000002</v>
      </c>
      <c r="F815" s="18">
        <f>65700+3000+1000</f>
        <v>69700</v>
      </c>
      <c r="N815" s="21"/>
      <c r="O815" s="22"/>
    </row>
    <row r="816" spans="1:15" s="10" customFormat="1" x14ac:dyDescent="0.25">
      <c r="A816" s="16">
        <v>194</v>
      </c>
      <c r="B816" s="16">
        <v>20</v>
      </c>
      <c r="C816" s="16">
        <v>20</v>
      </c>
      <c r="D816" s="16" t="s">
        <v>85</v>
      </c>
      <c r="E816" s="17">
        <v>5.3449999999999998</v>
      </c>
      <c r="F816" s="18">
        <f>68700+1000</f>
        <v>69700</v>
      </c>
      <c r="N816" s="21"/>
      <c r="O816" s="22"/>
    </row>
    <row r="817" spans="1:15" s="10" customFormat="1" x14ac:dyDescent="0.25">
      <c r="A817" s="16">
        <v>194</v>
      </c>
      <c r="B817" s="16">
        <v>20</v>
      </c>
      <c r="C817" s="16" t="s">
        <v>0</v>
      </c>
      <c r="D817" s="16" t="s">
        <v>2</v>
      </c>
      <c r="E817" s="17">
        <f>5.092-0.512-0.089-1-0.402</f>
        <v>3.0889999999999995</v>
      </c>
      <c r="F817" s="18">
        <f>68700+3000+1000</f>
        <v>72700</v>
      </c>
      <c r="N817" s="21"/>
      <c r="O817" s="22"/>
    </row>
    <row r="818" spans="1:15" s="10" customFormat="1" x14ac:dyDescent="0.25">
      <c r="A818" s="16">
        <v>194</v>
      </c>
      <c r="B818" s="16">
        <v>20</v>
      </c>
      <c r="C818" s="16" t="s">
        <v>0</v>
      </c>
      <c r="D818" s="16" t="s">
        <v>2</v>
      </c>
      <c r="E818" s="17">
        <f>1.008-0.503</f>
        <v>0.505</v>
      </c>
      <c r="F818" s="18">
        <f>68700+3000+1000</f>
        <v>72700</v>
      </c>
      <c r="N818" s="21"/>
      <c r="O818" s="22"/>
    </row>
    <row r="819" spans="1:15" s="10" customFormat="1" x14ac:dyDescent="0.25">
      <c r="A819" s="16">
        <v>194</v>
      </c>
      <c r="B819" s="16">
        <v>20</v>
      </c>
      <c r="C819" s="16" t="s">
        <v>89</v>
      </c>
      <c r="D819" s="16" t="s">
        <v>2</v>
      </c>
      <c r="E819" s="17">
        <v>1.0529999999999999</v>
      </c>
      <c r="F819" s="18">
        <f>81700+1000</f>
        <v>82700</v>
      </c>
      <c r="N819" s="21"/>
      <c r="O819" s="22"/>
    </row>
    <row r="820" spans="1:15" s="10" customFormat="1" x14ac:dyDescent="0.25">
      <c r="A820" s="16">
        <v>194</v>
      </c>
      <c r="B820" s="16">
        <v>20</v>
      </c>
      <c r="C820" s="16" t="s">
        <v>7</v>
      </c>
      <c r="D820" s="16" t="s">
        <v>2</v>
      </c>
      <c r="E820" s="17">
        <f>5.27-0.35-3.525</f>
        <v>1.395</v>
      </c>
      <c r="F820" s="18">
        <f>78700+3000+1000</f>
        <v>82700</v>
      </c>
      <c r="N820" s="21"/>
      <c r="O820" s="22"/>
    </row>
    <row r="821" spans="1:15" s="10" customFormat="1" x14ac:dyDescent="0.25">
      <c r="A821" s="16">
        <v>194</v>
      </c>
      <c r="B821" s="16">
        <v>20</v>
      </c>
      <c r="C821" s="16" t="s">
        <v>7</v>
      </c>
      <c r="D821" s="16" t="s">
        <v>2</v>
      </c>
      <c r="E821" s="17">
        <v>5</v>
      </c>
      <c r="F821" s="18">
        <f>81700+1000</f>
        <v>82700</v>
      </c>
      <c r="N821" s="21"/>
      <c r="O821" s="22"/>
    </row>
    <row r="822" spans="1:15" s="10" customFormat="1" x14ac:dyDescent="0.25">
      <c r="A822" s="16">
        <v>194</v>
      </c>
      <c r="B822" s="16">
        <v>22</v>
      </c>
      <c r="C822" s="16">
        <v>20</v>
      </c>
      <c r="D822" s="16" t="s">
        <v>2</v>
      </c>
      <c r="E822" s="17">
        <v>5.194</v>
      </c>
      <c r="F822" s="18">
        <f>65700+3000+1000</f>
        <v>69700</v>
      </c>
      <c r="N822" s="21"/>
      <c r="O822" s="22"/>
    </row>
    <row r="823" spans="1:15" s="10" customFormat="1" x14ac:dyDescent="0.25">
      <c r="A823" s="16">
        <v>194</v>
      </c>
      <c r="B823" s="16">
        <v>22</v>
      </c>
      <c r="C823" s="16">
        <v>35</v>
      </c>
      <c r="D823" s="16" t="s">
        <v>2</v>
      </c>
      <c r="E823" s="17">
        <f>5.567-0.287-0.617-0.285</f>
        <v>4.3780000000000001</v>
      </c>
      <c r="F823" s="18">
        <f>66700+3000+1000</f>
        <v>70700</v>
      </c>
      <c r="N823" s="21"/>
      <c r="O823" s="22"/>
    </row>
    <row r="824" spans="1:15" s="10" customFormat="1" x14ac:dyDescent="0.25">
      <c r="A824" s="16">
        <v>194</v>
      </c>
      <c r="B824" s="16">
        <v>22</v>
      </c>
      <c r="C824" s="16">
        <v>45</v>
      </c>
      <c r="D824" s="16" t="s">
        <v>2</v>
      </c>
      <c r="E824" s="17">
        <f>6.09-1.937-0.101-1.169</f>
        <v>2.8829999999999996</v>
      </c>
      <c r="F824" s="18">
        <f>66700+3000+1000</f>
        <v>70700</v>
      </c>
      <c r="N824" s="21"/>
      <c r="O824" s="22"/>
    </row>
    <row r="825" spans="1:15" s="10" customFormat="1" x14ac:dyDescent="0.25">
      <c r="A825" s="16">
        <v>194</v>
      </c>
      <c r="B825" s="16">
        <v>22</v>
      </c>
      <c r="C825" s="16">
        <v>45</v>
      </c>
      <c r="D825" s="16" t="s">
        <v>85</v>
      </c>
      <c r="E825" s="17">
        <v>5.59</v>
      </c>
      <c r="F825" s="18">
        <f>69700+1000</f>
        <v>70700</v>
      </c>
      <c r="N825" s="21"/>
      <c r="O825" s="22"/>
    </row>
    <row r="826" spans="1:15" s="10" customFormat="1" x14ac:dyDescent="0.25">
      <c r="A826" s="16">
        <v>194</v>
      </c>
      <c r="B826" s="16">
        <v>22</v>
      </c>
      <c r="C826" s="16" t="s">
        <v>5</v>
      </c>
      <c r="D826" s="16" t="s">
        <v>2</v>
      </c>
      <c r="E826" s="17">
        <v>5.0359999999999996</v>
      </c>
      <c r="F826" s="18">
        <f>78700+3000+1000</f>
        <v>82700</v>
      </c>
      <c r="N826" s="21"/>
      <c r="O826" s="22"/>
    </row>
    <row r="827" spans="1:15" s="10" customFormat="1" x14ac:dyDescent="0.25">
      <c r="A827" s="16">
        <v>194</v>
      </c>
      <c r="B827" s="16">
        <v>22</v>
      </c>
      <c r="C827" s="16" t="s">
        <v>5</v>
      </c>
      <c r="D827" s="16" t="s">
        <v>2</v>
      </c>
      <c r="E827" s="17">
        <v>5.758</v>
      </c>
      <c r="F827" s="18">
        <f>82700+1000</f>
        <v>83700</v>
      </c>
      <c r="N827" s="21"/>
      <c r="O827" s="22"/>
    </row>
    <row r="828" spans="1:15" s="10" customFormat="1" x14ac:dyDescent="0.25">
      <c r="A828" s="16">
        <v>194</v>
      </c>
      <c r="B828" s="16">
        <v>22</v>
      </c>
      <c r="C828" s="16" t="s">
        <v>5</v>
      </c>
      <c r="D828" s="16" t="s">
        <v>2</v>
      </c>
      <c r="E828" s="17">
        <f>3.758-2.505-0.21-0.284</f>
        <v>0.75900000000000012</v>
      </c>
      <c r="F828" s="18">
        <f>78700+3000+1000</f>
        <v>82700</v>
      </c>
      <c r="N828" s="21"/>
      <c r="O828" s="22"/>
    </row>
    <row r="829" spans="1:15" s="10" customFormat="1" x14ac:dyDescent="0.25">
      <c r="A829" s="16">
        <v>194</v>
      </c>
      <c r="B829" s="16">
        <v>25</v>
      </c>
      <c r="C829" s="16">
        <v>20</v>
      </c>
      <c r="D829" s="16" t="s">
        <v>2</v>
      </c>
      <c r="E829" s="17">
        <f>2.056-0.113-0.11-0.032-0.695-0.683</f>
        <v>0.42299999999999982</v>
      </c>
      <c r="F829" s="18">
        <f>65700+3000+1000</f>
        <v>69700</v>
      </c>
      <c r="N829" s="21"/>
      <c r="O829" s="22"/>
    </row>
    <row r="830" spans="1:15" s="10" customFormat="1" x14ac:dyDescent="0.25">
      <c r="A830" s="16">
        <v>194</v>
      </c>
      <c r="B830" s="16">
        <v>25</v>
      </c>
      <c r="C830" s="16">
        <v>20</v>
      </c>
      <c r="D830" s="16" t="s">
        <v>85</v>
      </c>
      <c r="E830" s="17">
        <f>2.536-0.741-0.535-0.595+0.002</f>
        <v>0.66699999999999982</v>
      </c>
      <c r="F830" s="18">
        <f>68700+1000</f>
        <v>69700</v>
      </c>
      <c r="N830" s="21"/>
      <c r="O830" s="22"/>
    </row>
    <row r="831" spans="1:15" s="10" customFormat="1" x14ac:dyDescent="0.25">
      <c r="A831" s="16">
        <v>194</v>
      </c>
      <c r="B831" s="16">
        <v>25</v>
      </c>
      <c r="C831" s="16">
        <v>20</v>
      </c>
      <c r="D831" s="16" t="s">
        <v>85</v>
      </c>
      <c r="E831" s="17">
        <v>1</v>
      </c>
      <c r="F831" s="18">
        <f>68700+1000</f>
        <v>69700</v>
      </c>
      <c r="N831" s="21"/>
      <c r="O831" s="22"/>
    </row>
    <row r="832" spans="1:15" s="10" customFormat="1" x14ac:dyDescent="0.25">
      <c r="A832" s="16">
        <v>194</v>
      </c>
      <c r="B832" s="16">
        <v>25</v>
      </c>
      <c r="C832" s="16">
        <v>35</v>
      </c>
      <c r="D832" s="16" t="s">
        <v>85</v>
      </c>
      <c r="E832" s="17">
        <v>5.5629999999999997</v>
      </c>
      <c r="F832" s="18">
        <f>69700+1000</f>
        <v>70700</v>
      </c>
      <c r="N832" s="21"/>
      <c r="O832" s="22"/>
    </row>
    <row r="833" spans="1:15" s="10" customFormat="1" x14ac:dyDescent="0.25">
      <c r="A833" s="16">
        <v>194</v>
      </c>
      <c r="B833" s="16">
        <v>25</v>
      </c>
      <c r="C833" s="16">
        <v>45</v>
      </c>
      <c r="D833" s="16" t="s">
        <v>2</v>
      </c>
      <c r="E833" s="17">
        <f>2.4-0.829-0.819</f>
        <v>0.752</v>
      </c>
      <c r="F833" s="18">
        <f>66700+3000+1000</f>
        <v>70700</v>
      </c>
      <c r="N833" s="21"/>
      <c r="O833" s="22"/>
    </row>
    <row r="834" spans="1:15" s="10" customFormat="1" x14ac:dyDescent="0.25">
      <c r="A834" s="16">
        <v>194</v>
      </c>
      <c r="B834" s="16">
        <v>25</v>
      </c>
      <c r="C834" s="16">
        <v>45</v>
      </c>
      <c r="D834" s="16" t="s">
        <v>2</v>
      </c>
      <c r="E834" s="17">
        <f>3.254-2.447</f>
        <v>0.80699999999999994</v>
      </c>
      <c r="F834" s="18">
        <f>66700+3000+1000</f>
        <v>70700</v>
      </c>
      <c r="N834" s="21"/>
      <c r="O834" s="22"/>
    </row>
    <row r="835" spans="1:15" s="10" customFormat="1" x14ac:dyDescent="0.25">
      <c r="A835" s="16">
        <v>194</v>
      </c>
      <c r="B835" s="16">
        <v>25</v>
      </c>
      <c r="C835" s="16">
        <v>45</v>
      </c>
      <c r="D835" s="16" t="s">
        <v>2</v>
      </c>
      <c r="E835" s="17">
        <f>10.514-0.35-0.072-0.213-0.063</f>
        <v>9.8160000000000007</v>
      </c>
      <c r="F835" s="18">
        <f>66700+3000+1000</f>
        <v>70700</v>
      </c>
      <c r="N835" s="21"/>
      <c r="O835" s="22"/>
    </row>
    <row r="836" spans="1:15" s="10" customFormat="1" x14ac:dyDescent="0.25">
      <c r="A836" s="16">
        <v>194</v>
      </c>
      <c r="B836" s="16">
        <v>25</v>
      </c>
      <c r="C836" s="16">
        <v>45</v>
      </c>
      <c r="D836" s="16" t="s">
        <v>2</v>
      </c>
      <c r="E836" s="17">
        <f>12.564-0.579-2.456-0.629-0.211-0.214</f>
        <v>8.4749999999999996</v>
      </c>
      <c r="F836" s="18">
        <f>66700+3000+1000</f>
        <v>70700</v>
      </c>
      <c r="N836" s="21"/>
      <c r="O836" s="22"/>
    </row>
    <row r="837" spans="1:15" s="10" customFormat="1" x14ac:dyDescent="0.25">
      <c r="A837" s="16">
        <v>194</v>
      </c>
      <c r="B837" s="16">
        <v>25</v>
      </c>
      <c r="C837" s="16" t="s">
        <v>0</v>
      </c>
      <c r="D837" s="16" t="s">
        <v>85</v>
      </c>
      <c r="E837" s="17">
        <v>5</v>
      </c>
      <c r="F837" s="18">
        <v>72700</v>
      </c>
      <c r="N837" s="21"/>
      <c r="O837" s="22"/>
    </row>
    <row r="838" spans="1:15" s="10" customFormat="1" x14ac:dyDescent="0.25">
      <c r="A838" s="16">
        <v>194</v>
      </c>
      <c r="B838" s="16">
        <v>25</v>
      </c>
      <c r="C838" s="16" t="s">
        <v>5</v>
      </c>
      <c r="D838" s="16" t="s">
        <v>2</v>
      </c>
      <c r="E838" s="17">
        <v>3.1680000000000001</v>
      </c>
      <c r="F838" s="18">
        <f>78700+3000+1000</f>
        <v>82700</v>
      </c>
      <c r="N838" s="21"/>
      <c r="O838" s="22"/>
    </row>
    <row r="839" spans="1:15" s="10" customFormat="1" x14ac:dyDescent="0.25">
      <c r="A839" s="16">
        <v>194</v>
      </c>
      <c r="B839" s="16">
        <v>25</v>
      </c>
      <c r="C839" s="16" t="s">
        <v>5</v>
      </c>
      <c r="D839" s="16" t="s">
        <v>2</v>
      </c>
      <c r="E839" s="17">
        <v>1.629</v>
      </c>
      <c r="F839" s="18">
        <f>78700+3000+1000</f>
        <v>82700</v>
      </c>
      <c r="N839" s="21"/>
      <c r="O839" s="22"/>
    </row>
    <row r="840" spans="1:15" s="10" customFormat="1" x14ac:dyDescent="0.25">
      <c r="A840" s="16">
        <v>194</v>
      </c>
      <c r="B840" s="16">
        <v>25</v>
      </c>
      <c r="C840" s="16" t="s">
        <v>5</v>
      </c>
      <c r="D840" s="16" t="s">
        <v>2</v>
      </c>
      <c r="E840" s="17">
        <v>2.508</v>
      </c>
      <c r="F840" s="18">
        <f>78700+3000+1000</f>
        <v>82700</v>
      </c>
      <c r="N840" s="21"/>
      <c r="O840" s="22"/>
    </row>
    <row r="841" spans="1:15" s="10" customFormat="1" x14ac:dyDescent="0.25">
      <c r="A841" s="16">
        <v>194</v>
      </c>
      <c r="B841" s="16">
        <v>25</v>
      </c>
      <c r="C841" s="16" t="s">
        <v>7</v>
      </c>
      <c r="D841" s="16" t="s">
        <v>2</v>
      </c>
      <c r="E841" s="17">
        <v>4.944</v>
      </c>
      <c r="F841" s="18">
        <f>78700+3000+1000</f>
        <v>82700</v>
      </c>
      <c r="N841" s="21"/>
      <c r="O841" s="22"/>
    </row>
    <row r="842" spans="1:15" s="10" customFormat="1" x14ac:dyDescent="0.25">
      <c r="A842" s="16">
        <v>194</v>
      </c>
      <c r="B842" s="16">
        <v>28</v>
      </c>
      <c r="C842" s="16">
        <v>35</v>
      </c>
      <c r="D842" s="16" t="s">
        <v>85</v>
      </c>
      <c r="E842" s="17">
        <v>5.4669999999999996</v>
      </c>
      <c r="F842" s="18">
        <f>69700+1000</f>
        <v>70700</v>
      </c>
      <c r="N842" s="21"/>
      <c r="O842" s="22"/>
    </row>
    <row r="843" spans="1:15" s="10" customFormat="1" x14ac:dyDescent="0.25">
      <c r="A843" s="16">
        <v>194</v>
      </c>
      <c r="B843" s="16">
        <v>28</v>
      </c>
      <c r="C843" s="16">
        <v>45</v>
      </c>
      <c r="D843" s="16" t="s">
        <v>2</v>
      </c>
      <c r="E843" s="17">
        <v>4.7110000000000003</v>
      </c>
      <c r="F843" s="18">
        <f>66700+3000+1000</f>
        <v>70700</v>
      </c>
      <c r="N843" s="21"/>
      <c r="O843" s="22"/>
    </row>
    <row r="844" spans="1:15" s="10" customFormat="1" x14ac:dyDescent="0.25">
      <c r="A844" s="16">
        <v>194</v>
      </c>
      <c r="B844" s="16">
        <v>28</v>
      </c>
      <c r="C844" s="16">
        <v>45</v>
      </c>
      <c r="D844" s="16" t="s">
        <v>2</v>
      </c>
      <c r="E844" s="17">
        <f>0.588-0.35</f>
        <v>0.23799999999999999</v>
      </c>
      <c r="F844" s="18">
        <f>66700+3000+1000</f>
        <v>70700</v>
      </c>
      <c r="N844" s="21"/>
      <c r="O844" s="22"/>
    </row>
    <row r="845" spans="1:15" s="10" customFormat="1" x14ac:dyDescent="0.25">
      <c r="A845" s="16">
        <v>194</v>
      </c>
      <c r="B845" s="16">
        <v>28</v>
      </c>
      <c r="C845" s="16" t="s">
        <v>5</v>
      </c>
      <c r="D845" s="16" t="s">
        <v>2</v>
      </c>
      <c r="E845" s="17">
        <v>5.5140000000000002</v>
      </c>
      <c r="F845" s="18">
        <f>78700+3000+1000</f>
        <v>82700</v>
      </c>
      <c r="N845" s="21"/>
      <c r="O845" s="22"/>
    </row>
    <row r="846" spans="1:15" s="10" customFormat="1" x14ac:dyDescent="0.25">
      <c r="A846" s="16">
        <v>194</v>
      </c>
      <c r="B846" s="16">
        <v>30</v>
      </c>
      <c r="C846" s="16">
        <v>20</v>
      </c>
      <c r="D846" s="16" t="s">
        <v>2</v>
      </c>
      <c r="E846" s="17">
        <f>2.505-0.13-0.133-0.183-0.833-0.121-0.247-0.139</f>
        <v>0.71900000000000019</v>
      </c>
      <c r="F846" s="18">
        <f>65700+3000+1000</f>
        <v>69700</v>
      </c>
      <c r="N846" s="21"/>
      <c r="O846" s="22"/>
    </row>
    <row r="847" spans="1:15" s="10" customFormat="1" x14ac:dyDescent="0.25">
      <c r="A847" s="16">
        <v>194</v>
      </c>
      <c r="B847" s="16">
        <v>32</v>
      </c>
      <c r="C847" s="16" t="s">
        <v>5</v>
      </c>
      <c r="D847" s="16" t="s">
        <v>2</v>
      </c>
      <c r="E847" s="17">
        <f>5.725-2.434</f>
        <v>3.2909999999999995</v>
      </c>
      <c r="F847" s="18">
        <f>78700+3000+1000</f>
        <v>82700</v>
      </c>
      <c r="N847" s="21"/>
      <c r="O847" s="22"/>
    </row>
    <row r="848" spans="1:15" s="10" customFormat="1" x14ac:dyDescent="0.25">
      <c r="A848" s="16">
        <v>194</v>
      </c>
      <c r="B848" s="16">
        <v>36</v>
      </c>
      <c r="C848" s="16">
        <v>20</v>
      </c>
      <c r="D848" s="16" t="s">
        <v>85</v>
      </c>
      <c r="E848" s="17">
        <v>5.3940000000000001</v>
      </c>
      <c r="F848" s="18">
        <f>68700+1000</f>
        <v>69700</v>
      </c>
      <c r="N848" s="21"/>
      <c r="O848" s="22"/>
    </row>
    <row r="849" spans="1:15" s="10" customFormat="1" x14ac:dyDescent="0.25">
      <c r="A849" s="16">
        <v>194</v>
      </c>
      <c r="B849" s="16">
        <v>36</v>
      </c>
      <c r="C849" s="16">
        <v>35</v>
      </c>
      <c r="D849" s="16" t="s">
        <v>85</v>
      </c>
      <c r="E849" s="17">
        <v>4.5110000000000001</v>
      </c>
      <c r="F849" s="18">
        <f>69700+1000</f>
        <v>70700</v>
      </c>
      <c r="N849" s="21"/>
      <c r="O849" s="22"/>
    </row>
    <row r="850" spans="1:15" s="10" customFormat="1" x14ac:dyDescent="0.25">
      <c r="A850" s="16">
        <v>194</v>
      </c>
      <c r="B850" s="16">
        <v>36</v>
      </c>
      <c r="C850" s="16">
        <v>35</v>
      </c>
      <c r="D850" s="16" t="s">
        <v>85</v>
      </c>
      <c r="E850" s="17">
        <v>3.4809999999999999</v>
      </c>
      <c r="F850" s="18">
        <f>69700+1000</f>
        <v>70700</v>
      </c>
      <c r="N850" s="21"/>
      <c r="O850" s="22"/>
    </row>
    <row r="851" spans="1:15" s="10" customFormat="1" x14ac:dyDescent="0.25">
      <c r="A851" s="16">
        <v>194</v>
      </c>
      <c r="B851" s="16">
        <v>36</v>
      </c>
      <c r="C851" s="16">
        <v>45</v>
      </c>
      <c r="D851" s="16" t="s">
        <v>85</v>
      </c>
      <c r="E851" s="17">
        <v>5.0910000000000002</v>
      </c>
      <c r="F851" s="18">
        <f>69700+1000</f>
        <v>70700</v>
      </c>
      <c r="N851" s="21"/>
      <c r="O851" s="22"/>
    </row>
    <row r="852" spans="1:15" s="10" customFormat="1" x14ac:dyDescent="0.25">
      <c r="A852" s="16">
        <v>194</v>
      </c>
      <c r="B852" s="16">
        <v>36</v>
      </c>
      <c r="C852" s="16" t="s">
        <v>5</v>
      </c>
      <c r="D852" s="16" t="s">
        <v>2</v>
      </c>
      <c r="E852" s="17">
        <f>4.713-0.429</f>
        <v>4.2839999999999998</v>
      </c>
      <c r="F852" s="18">
        <f>78700+3000+1000</f>
        <v>82700</v>
      </c>
      <c r="N852" s="21"/>
      <c r="O852" s="22"/>
    </row>
    <row r="853" spans="1:15" s="10" customFormat="1" x14ac:dyDescent="0.25">
      <c r="A853" s="16">
        <v>194</v>
      </c>
      <c r="B853" s="16">
        <v>36</v>
      </c>
      <c r="C853" s="16" t="s">
        <v>5</v>
      </c>
      <c r="D853" s="16" t="s">
        <v>2</v>
      </c>
      <c r="E853" s="17">
        <v>0.5</v>
      </c>
      <c r="F853" s="18">
        <f>78700+3000+1000</f>
        <v>82700</v>
      </c>
      <c r="N853" s="21"/>
      <c r="O853" s="22"/>
    </row>
    <row r="854" spans="1:15" s="10" customFormat="1" x14ac:dyDescent="0.25">
      <c r="A854" s="16">
        <v>194</v>
      </c>
      <c r="B854" s="16">
        <v>36</v>
      </c>
      <c r="C854" s="16" t="s">
        <v>7</v>
      </c>
      <c r="D854" s="16" t="s">
        <v>2</v>
      </c>
      <c r="E854" s="17">
        <f>8.075-1.536-1.894-3.346</f>
        <v>1.2989999999999995</v>
      </c>
      <c r="F854" s="18">
        <f>78700+3000+1000</f>
        <v>82700</v>
      </c>
      <c r="N854" s="21"/>
      <c r="O854" s="22"/>
    </row>
    <row r="855" spans="1:15" s="10" customFormat="1" x14ac:dyDescent="0.25">
      <c r="A855" s="16">
        <v>194</v>
      </c>
      <c r="B855" s="16">
        <v>45</v>
      </c>
      <c r="C855" s="16">
        <v>20</v>
      </c>
      <c r="D855" s="16" t="s">
        <v>2</v>
      </c>
      <c r="E855" s="17">
        <f>4.7-0.784-0.801-0.093-0.508-1.577-0.345-0.158+0.001-0.282+0.015-0.033</f>
        <v>0.13500000000000031</v>
      </c>
      <c r="F855" s="18">
        <f>65700+3000+1000</f>
        <v>69700</v>
      </c>
      <c r="N855" s="21"/>
      <c r="O855" s="22"/>
    </row>
    <row r="856" spans="1:15" s="10" customFormat="1" x14ac:dyDescent="0.25">
      <c r="A856" s="16">
        <v>194</v>
      </c>
      <c r="B856" s="16">
        <v>45</v>
      </c>
      <c r="C856" s="16">
        <v>20</v>
      </c>
      <c r="D856" s="16" t="s">
        <v>2</v>
      </c>
      <c r="E856" s="17">
        <f>5.28-0.792-0.193-3.067-0.552</f>
        <v>0.6760000000000006</v>
      </c>
      <c r="F856" s="18">
        <f>65700+3000+1000</f>
        <v>69700</v>
      </c>
      <c r="N856" s="21"/>
      <c r="O856" s="22"/>
    </row>
    <row r="857" spans="1:15" s="10" customFormat="1" x14ac:dyDescent="0.25">
      <c r="A857" s="16">
        <v>194</v>
      </c>
      <c r="B857" s="16">
        <v>45</v>
      </c>
      <c r="C857" s="16">
        <v>45</v>
      </c>
      <c r="D857" s="16" t="s">
        <v>2</v>
      </c>
      <c r="E857" s="17">
        <v>8.5</v>
      </c>
      <c r="F857" s="18">
        <f>66700+3000+1000</f>
        <v>70700</v>
      </c>
      <c r="N857" s="21"/>
      <c r="O857" s="22"/>
    </row>
    <row r="858" spans="1:15" s="10" customFormat="1" x14ac:dyDescent="0.25">
      <c r="A858" s="16">
        <v>203</v>
      </c>
      <c r="B858" s="16">
        <v>10</v>
      </c>
      <c r="C858" s="16">
        <v>20</v>
      </c>
      <c r="D858" s="16" t="s">
        <v>85</v>
      </c>
      <c r="E858" s="17">
        <v>5.59</v>
      </c>
      <c r="F858" s="18">
        <f>68700+1000</f>
        <v>69700</v>
      </c>
      <c r="N858" s="21"/>
      <c r="O858" s="22"/>
    </row>
    <row r="859" spans="1:15" s="10" customFormat="1" x14ac:dyDescent="0.25">
      <c r="A859" s="16">
        <v>203</v>
      </c>
      <c r="B859" s="16">
        <v>14</v>
      </c>
      <c r="C859" s="16">
        <v>20</v>
      </c>
      <c r="D859" s="16" t="s">
        <v>2</v>
      </c>
      <c r="E859" s="17">
        <f>3.647-0.161-0.036-2.432</f>
        <v>1.0179999999999998</v>
      </c>
      <c r="F859" s="18">
        <f>65700+3000+1000</f>
        <v>69700</v>
      </c>
      <c r="N859" s="21"/>
      <c r="O859" s="22"/>
    </row>
    <row r="860" spans="1:15" s="10" customFormat="1" x14ac:dyDescent="0.25">
      <c r="A860" s="16">
        <v>203</v>
      </c>
      <c r="B860" s="16">
        <v>14</v>
      </c>
      <c r="C860" s="16" t="s">
        <v>0</v>
      </c>
      <c r="D860" s="16" t="s">
        <v>2</v>
      </c>
      <c r="E860" s="17">
        <f>13.036-2.903</f>
        <v>10.132999999999999</v>
      </c>
      <c r="F860" s="18">
        <f>68700+3000+1000</f>
        <v>72700</v>
      </c>
      <c r="N860" s="21"/>
      <c r="O860" s="22"/>
    </row>
    <row r="861" spans="1:15" s="10" customFormat="1" x14ac:dyDescent="0.25">
      <c r="A861" s="16">
        <v>203</v>
      </c>
      <c r="B861" s="16">
        <v>20</v>
      </c>
      <c r="C861" s="16">
        <v>20</v>
      </c>
      <c r="D861" s="16" t="s">
        <v>85</v>
      </c>
      <c r="E861" s="17">
        <f>5.236-0.185</f>
        <v>5.0510000000000002</v>
      </c>
      <c r="F861" s="18">
        <f>68700+1000</f>
        <v>69700</v>
      </c>
      <c r="N861" s="21"/>
      <c r="O861" s="22"/>
    </row>
    <row r="862" spans="1:15" s="10" customFormat="1" x14ac:dyDescent="0.25">
      <c r="A862" s="16">
        <v>203</v>
      </c>
      <c r="B862" s="16">
        <v>22</v>
      </c>
      <c r="C862" s="16" t="s">
        <v>7</v>
      </c>
      <c r="D862" s="16" t="s">
        <v>2</v>
      </c>
      <c r="E862" s="17">
        <v>5</v>
      </c>
      <c r="F862" s="18">
        <f>81700+1000</f>
        <v>82700</v>
      </c>
      <c r="N862" s="21"/>
      <c r="O862" s="22"/>
    </row>
    <row r="863" spans="1:15" s="10" customFormat="1" x14ac:dyDescent="0.25">
      <c r="A863" s="16">
        <v>203</v>
      </c>
      <c r="B863" s="16">
        <v>25</v>
      </c>
      <c r="C863" s="16">
        <v>20</v>
      </c>
      <c r="D863" s="16" t="s">
        <v>85</v>
      </c>
      <c r="E863" s="17">
        <f>5.539-1.418-0.334</f>
        <v>3.7869999999999995</v>
      </c>
      <c r="F863" s="18">
        <f>68700+1000</f>
        <v>69700</v>
      </c>
      <c r="N863" s="21"/>
      <c r="O863" s="22"/>
    </row>
    <row r="864" spans="1:15" s="10" customFormat="1" x14ac:dyDescent="0.25">
      <c r="A864" s="16">
        <v>203</v>
      </c>
      <c r="B864" s="16">
        <v>25</v>
      </c>
      <c r="C864" s="16">
        <v>35</v>
      </c>
      <c r="D864" s="16" t="s">
        <v>85</v>
      </c>
      <c r="E864" s="17">
        <v>5.4640000000000004</v>
      </c>
      <c r="F864" s="18">
        <f>69700+1000</f>
        <v>70700</v>
      </c>
      <c r="N864" s="21"/>
      <c r="O864" s="22"/>
    </row>
    <row r="865" spans="1:15" s="10" customFormat="1" x14ac:dyDescent="0.25">
      <c r="A865" s="16">
        <v>203</v>
      </c>
      <c r="B865" s="16">
        <v>25</v>
      </c>
      <c r="C865" s="16">
        <v>45</v>
      </c>
      <c r="D865" s="16" t="s">
        <v>85</v>
      </c>
      <c r="E865" s="17">
        <v>5.5250000000000004</v>
      </c>
      <c r="F865" s="18">
        <f>69700+1000</f>
        <v>70700</v>
      </c>
      <c r="N865" s="21"/>
      <c r="O865" s="22"/>
    </row>
    <row r="866" spans="1:15" s="10" customFormat="1" x14ac:dyDescent="0.25">
      <c r="A866" s="16">
        <v>203</v>
      </c>
      <c r="B866" s="16">
        <v>25</v>
      </c>
      <c r="C866" s="16">
        <v>45</v>
      </c>
      <c r="D866" s="16" t="s">
        <v>2</v>
      </c>
      <c r="E866" s="17">
        <v>0.622</v>
      </c>
      <c r="F866" s="18">
        <v>70700</v>
      </c>
      <c r="N866" s="21"/>
      <c r="O866" s="22"/>
    </row>
    <row r="867" spans="1:15" s="10" customFormat="1" x14ac:dyDescent="0.25">
      <c r="A867" s="16">
        <v>203</v>
      </c>
      <c r="B867" s="16">
        <v>25</v>
      </c>
      <c r="C867" s="16" t="s">
        <v>7</v>
      </c>
      <c r="D867" s="16" t="s">
        <v>2</v>
      </c>
      <c r="E867" s="17">
        <f>4.95-0.83</f>
        <v>4.12</v>
      </c>
      <c r="F867" s="18">
        <f>78700+3000+1000</f>
        <v>82700</v>
      </c>
      <c r="N867" s="21"/>
      <c r="O867" s="22"/>
    </row>
    <row r="868" spans="1:15" s="10" customFormat="1" x14ac:dyDescent="0.25">
      <c r="A868" s="16">
        <v>203</v>
      </c>
      <c r="B868" s="16">
        <v>25</v>
      </c>
      <c r="C868" s="16" t="s">
        <v>7</v>
      </c>
      <c r="D868" s="16" t="s">
        <v>2</v>
      </c>
      <c r="E868" s="17">
        <v>4.9409999999999998</v>
      </c>
      <c r="F868" s="18">
        <f>81700+1000</f>
        <v>82700</v>
      </c>
      <c r="N868" s="21"/>
      <c r="O868" s="22"/>
    </row>
    <row r="869" spans="1:15" s="10" customFormat="1" x14ac:dyDescent="0.25">
      <c r="A869" s="16">
        <v>203</v>
      </c>
      <c r="B869" s="16">
        <v>28</v>
      </c>
      <c r="C869" s="16">
        <v>35</v>
      </c>
      <c r="D869" s="16" t="s">
        <v>2</v>
      </c>
      <c r="E869" s="17">
        <f>4.891-2.44-0.825</f>
        <v>1.6260000000000001</v>
      </c>
      <c r="F869" s="18">
        <f>66700+3000+1000</f>
        <v>70700</v>
      </c>
      <c r="N869" s="21"/>
      <c r="O869" s="22"/>
    </row>
    <row r="870" spans="1:15" s="10" customFormat="1" x14ac:dyDescent="0.25">
      <c r="A870" s="16">
        <v>203</v>
      </c>
      <c r="B870" s="16">
        <v>28</v>
      </c>
      <c r="C870" s="16">
        <v>45</v>
      </c>
      <c r="D870" s="16" t="s">
        <v>2</v>
      </c>
      <c r="E870" s="17">
        <f>8.587-0.03-0.76-0.043-2.102</f>
        <v>5.652000000000001</v>
      </c>
      <c r="F870" s="18">
        <f>69700+1000</f>
        <v>70700</v>
      </c>
      <c r="N870" s="21"/>
      <c r="O870" s="22"/>
    </row>
    <row r="871" spans="1:15" s="10" customFormat="1" x14ac:dyDescent="0.25">
      <c r="A871" s="16">
        <v>203</v>
      </c>
      <c r="B871" s="16">
        <v>28</v>
      </c>
      <c r="C871" s="16" t="s">
        <v>5</v>
      </c>
      <c r="D871" s="16" t="s">
        <v>2</v>
      </c>
      <c r="E871" s="17">
        <v>4.0380000000000003</v>
      </c>
      <c r="F871" s="18">
        <f>78700+3000+1000</f>
        <v>82700</v>
      </c>
      <c r="N871" s="21"/>
      <c r="O871" s="22"/>
    </row>
    <row r="872" spans="1:15" s="10" customFormat="1" x14ac:dyDescent="0.25">
      <c r="A872" s="16">
        <v>203</v>
      </c>
      <c r="B872" s="16">
        <v>28</v>
      </c>
      <c r="C872" s="16" t="s">
        <v>5</v>
      </c>
      <c r="D872" s="16" t="s">
        <v>2</v>
      </c>
      <c r="E872" s="17">
        <v>0.3</v>
      </c>
      <c r="F872" s="18">
        <f>78700+3000+1000</f>
        <v>82700</v>
      </c>
      <c r="N872" s="21"/>
      <c r="O872" s="22"/>
    </row>
    <row r="873" spans="1:15" s="10" customFormat="1" x14ac:dyDescent="0.25">
      <c r="A873" s="16">
        <v>203</v>
      </c>
      <c r="B873" s="16">
        <v>30</v>
      </c>
      <c r="C873" s="16">
        <v>20</v>
      </c>
      <c r="D873" s="16" t="s">
        <v>2</v>
      </c>
      <c r="E873" s="17">
        <f>2.717-0.205-0.822-0.21-0.525</f>
        <v>0.95499999999999996</v>
      </c>
      <c r="F873" s="18">
        <f>65700+3000+1000</f>
        <v>69700</v>
      </c>
      <c r="N873" s="21"/>
      <c r="O873" s="22"/>
    </row>
    <row r="874" spans="1:15" s="10" customFormat="1" x14ac:dyDescent="0.25">
      <c r="A874" s="16">
        <v>203</v>
      </c>
      <c r="B874" s="16">
        <v>30</v>
      </c>
      <c r="C874" s="16">
        <v>20</v>
      </c>
      <c r="D874" s="16" t="s">
        <v>85</v>
      </c>
      <c r="E874" s="17">
        <v>5</v>
      </c>
      <c r="F874" s="18">
        <f>68700+1000</f>
        <v>69700</v>
      </c>
      <c r="N874" s="21"/>
      <c r="O874" s="22"/>
    </row>
    <row r="875" spans="1:15" s="10" customFormat="1" x14ac:dyDescent="0.25">
      <c r="A875" s="16">
        <v>203</v>
      </c>
      <c r="B875" s="16">
        <v>30</v>
      </c>
      <c r="C875" s="16">
        <v>45</v>
      </c>
      <c r="D875" s="16" t="s">
        <v>85</v>
      </c>
      <c r="E875" s="17">
        <v>4.952</v>
      </c>
      <c r="F875" s="18">
        <f>69700+1000</f>
        <v>70700</v>
      </c>
      <c r="N875" s="21"/>
      <c r="O875" s="22"/>
    </row>
    <row r="876" spans="1:15" s="10" customFormat="1" x14ac:dyDescent="0.25">
      <c r="A876" s="16">
        <v>203</v>
      </c>
      <c r="B876" s="16">
        <v>30</v>
      </c>
      <c r="C876" s="16" t="s">
        <v>7</v>
      </c>
      <c r="D876" s="16" t="s">
        <v>2</v>
      </c>
      <c r="E876" s="17">
        <v>4.1589999999999998</v>
      </c>
      <c r="F876" s="18">
        <f>78700+3000+1000</f>
        <v>82700</v>
      </c>
      <c r="N876" s="21"/>
      <c r="O876" s="22"/>
    </row>
    <row r="877" spans="1:15" s="10" customFormat="1" x14ac:dyDescent="0.25">
      <c r="A877" s="16">
        <v>203</v>
      </c>
      <c r="B877" s="16">
        <v>30</v>
      </c>
      <c r="C877" s="16" t="s">
        <v>7</v>
      </c>
      <c r="D877" s="16" t="s">
        <v>2</v>
      </c>
      <c r="E877" s="17">
        <v>1</v>
      </c>
      <c r="F877" s="18">
        <f>78700+3000+1000</f>
        <v>82700</v>
      </c>
      <c r="N877" s="21"/>
      <c r="O877" s="22"/>
    </row>
    <row r="878" spans="1:15" s="10" customFormat="1" x14ac:dyDescent="0.25">
      <c r="A878" s="16">
        <v>203</v>
      </c>
      <c r="B878" s="16">
        <v>32</v>
      </c>
      <c r="C878" s="16">
        <v>20</v>
      </c>
      <c r="D878" s="16" t="s">
        <v>2</v>
      </c>
      <c r="E878" s="17">
        <f>5.341-2.185-0.148</f>
        <v>3.008</v>
      </c>
      <c r="F878" s="18">
        <f>65700+3000+1000</f>
        <v>69700</v>
      </c>
      <c r="N878" s="21"/>
      <c r="O878" s="22"/>
    </row>
    <row r="879" spans="1:15" s="10" customFormat="1" x14ac:dyDescent="0.25">
      <c r="A879" s="16">
        <v>203</v>
      </c>
      <c r="B879" s="16">
        <v>32</v>
      </c>
      <c r="C879" s="16" t="s">
        <v>0</v>
      </c>
      <c r="D879" s="16" t="s">
        <v>85</v>
      </c>
      <c r="E879" s="17">
        <v>5.5839999999999996</v>
      </c>
      <c r="F879" s="18">
        <f>68700+3000+1000</f>
        <v>72700</v>
      </c>
      <c r="N879" s="21"/>
      <c r="O879" s="22"/>
    </row>
    <row r="880" spans="1:15" s="10" customFormat="1" x14ac:dyDescent="0.25">
      <c r="A880" s="16">
        <v>203</v>
      </c>
      <c r="B880" s="16">
        <v>36</v>
      </c>
      <c r="C880" s="16">
        <v>20</v>
      </c>
      <c r="D880" s="16" t="s">
        <v>85</v>
      </c>
      <c r="E880" s="17">
        <v>5.2439999999999998</v>
      </c>
      <c r="F880" s="18">
        <f>68700+1000</f>
        <v>69700</v>
      </c>
      <c r="N880" s="21"/>
      <c r="O880" s="22"/>
    </row>
    <row r="881" spans="1:15" s="10" customFormat="1" x14ac:dyDescent="0.25">
      <c r="A881" s="16">
        <v>203</v>
      </c>
      <c r="B881" s="16">
        <v>36</v>
      </c>
      <c r="C881" s="16">
        <v>35</v>
      </c>
      <c r="D881" s="16" t="s">
        <v>85</v>
      </c>
      <c r="E881" s="17">
        <v>5.3719999999999999</v>
      </c>
      <c r="F881" s="18">
        <f>69700+1000</f>
        <v>70700</v>
      </c>
      <c r="N881" s="21"/>
      <c r="O881" s="22"/>
    </row>
    <row r="882" spans="1:15" s="10" customFormat="1" x14ac:dyDescent="0.25">
      <c r="A882" s="16">
        <v>203</v>
      </c>
      <c r="B882" s="16">
        <v>36</v>
      </c>
      <c r="C882" s="16">
        <v>45</v>
      </c>
      <c r="D882" s="16" t="s">
        <v>2</v>
      </c>
      <c r="E882" s="17">
        <f>1.505-0.767+0.001-0.136</f>
        <v>0.60299999999999987</v>
      </c>
      <c r="F882" s="18">
        <f>66700+3000+1000</f>
        <v>70700</v>
      </c>
      <c r="N882" s="21"/>
      <c r="O882" s="22"/>
    </row>
    <row r="883" spans="1:15" s="10" customFormat="1" x14ac:dyDescent="0.25">
      <c r="A883" s="16">
        <v>203</v>
      </c>
      <c r="B883" s="16">
        <v>36</v>
      </c>
      <c r="C883" s="16">
        <v>45</v>
      </c>
      <c r="D883" s="16" t="s">
        <v>85</v>
      </c>
      <c r="E883" s="17">
        <v>4.97</v>
      </c>
      <c r="F883" s="18">
        <f>69700+1000</f>
        <v>70700</v>
      </c>
      <c r="N883" s="21"/>
      <c r="O883" s="22"/>
    </row>
    <row r="884" spans="1:15" s="10" customFormat="1" x14ac:dyDescent="0.25">
      <c r="A884" s="16">
        <v>203</v>
      </c>
      <c r="B884" s="16">
        <v>36</v>
      </c>
      <c r="C884" s="16" t="s">
        <v>7</v>
      </c>
      <c r="D884" s="16" t="s">
        <v>2</v>
      </c>
      <c r="E884" s="17">
        <f>4.711-0.024</f>
        <v>4.6870000000000003</v>
      </c>
      <c r="F884" s="18">
        <f>78700+3000+1000</f>
        <v>82700</v>
      </c>
      <c r="N884" s="21"/>
      <c r="O884" s="22"/>
    </row>
    <row r="885" spans="1:15" s="10" customFormat="1" x14ac:dyDescent="0.25">
      <c r="A885" s="16">
        <v>203</v>
      </c>
      <c r="B885" s="16">
        <v>36</v>
      </c>
      <c r="C885" s="16" t="s">
        <v>5</v>
      </c>
      <c r="D885" s="16" t="s">
        <v>2</v>
      </c>
      <c r="E885" s="17">
        <v>5</v>
      </c>
      <c r="F885" s="18">
        <f>81700+1000</f>
        <v>82700</v>
      </c>
      <c r="N885" s="21"/>
      <c r="O885" s="22"/>
    </row>
    <row r="886" spans="1:15" s="10" customFormat="1" x14ac:dyDescent="0.25">
      <c r="A886" s="16">
        <v>203</v>
      </c>
      <c r="B886" s="16">
        <v>36</v>
      </c>
      <c r="C886" s="16" t="s">
        <v>5</v>
      </c>
      <c r="D886" s="16" t="s">
        <v>85</v>
      </c>
      <c r="E886" s="17">
        <v>10</v>
      </c>
      <c r="F886" s="18">
        <v>82700</v>
      </c>
      <c r="N886" s="21"/>
      <c r="O886" s="22"/>
    </row>
    <row r="887" spans="1:15" s="10" customFormat="1" x14ac:dyDescent="0.25">
      <c r="A887" s="16">
        <v>203</v>
      </c>
      <c r="B887" s="16">
        <v>40</v>
      </c>
      <c r="C887" s="16">
        <v>20</v>
      </c>
      <c r="D887" s="16" t="s">
        <v>85</v>
      </c>
      <c r="E887" s="17">
        <v>4.5179999999999998</v>
      </c>
      <c r="F887" s="18">
        <f>68700+1000</f>
        <v>69700</v>
      </c>
      <c r="N887" s="21"/>
      <c r="O887" s="22"/>
    </row>
    <row r="888" spans="1:15" s="10" customFormat="1" x14ac:dyDescent="0.25">
      <c r="A888" s="16">
        <v>203</v>
      </c>
      <c r="B888" s="16">
        <v>45</v>
      </c>
      <c r="C888" s="16">
        <v>20</v>
      </c>
      <c r="D888" s="16" t="s">
        <v>85</v>
      </c>
      <c r="E888" s="17">
        <v>5.8170000000000002</v>
      </c>
      <c r="F888" s="18">
        <f>68700+1000</f>
        <v>69700</v>
      </c>
      <c r="N888" s="21"/>
      <c r="O888" s="22"/>
    </row>
    <row r="889" spans="1:15" s="10" customFormat="1" x14ac:dyDescent="0.25">
      <c r="A889" s="16">
        <v>203</v>
      </c>
      <c r="B889" s="16">
        <v>45</v>
      </c>
      <c r="C889" s="16">
        <v>35</v>
      </c>
      <c r="D889" s="16" t="s">
        <v>85</v>
      </c>
      <c r="E889" s="17">
        <v>5</v>
      </c>
      <c r="F889" s="18">
        <v>70700</v>
      </c>
      <c r="N889" s="21"/>
      <c r="O889" s="22"/>
    </row>
    <row r="890" spans="1:15" s="10" customFormat="1" x14ac:dyDescent="0.25">
      <c r="A890" s="16">
        <v>203</v>
      </c>
      <c r="B890" s="16">
        <v>45</v>
      </c>
      <c r="C890" s="16">
        <v>45</v>
      </c>
      <c r="D890" s="16" t="s">
        <v>2</v>
      </c>
      <c r="E890" s="17">
        <f>3.191-0.774-0.529-1.601</f>
        <v>0.28699999999999992</v>
      </c>
      <c r="F890" s="18">
        <f>69700+1000</f>
        <v>70700</v>
      </c>
      <c r="N890" s="21"/>
      <c r="O890" s="22"/>
    </row>
    <row r="891" spans="1:15" s="10" customFormat="1" x14ac:dyDescent="0.25">
      <c r="A891" s="16">
        <v>203</v>
      </c>
      <c r="B891" s="16">
        <v>45</v>
      </c>
      <c r="C891" s="16">
        <v>45</v>
      </c>
      <c r="D891" s="16" t="s">
        <v>85</v>
      </c>
      <c r="E891" s="17">
        <v>10</v>
      </c>
      <c r="F891" s="18">
        <v>70700</v>
      </c>
      <c r="N891" s="21"/>
      <c r="O891" s="22"/>
    </row>
    <row r="892" spans="1:15" s="10" customFormat="1" x14ac:dyDescent="0.25">
      <c r="A892" s="16">
        <v>203</v>
      </c>
      <c r="B892" s="16">
        <v>45</v>
      </c>
      <c r="C892" s="16" t="s">
        <v>0</v>
      </c>
      <c r="D892" s="16" t="s">
        <v>85</v>
      </c>
      <c r="E892" s="17">
        <v>5</v>
      </c>
      <c r="F892" s="18">
        <v>72700</v>
      </c>
      <c r="N892" s="21"/>
      <c r="O892" s="22"/>
    </row>
    <row r="893" spans="1:15" s="10" customFormat="1" x14ac:dyDescent="0.25">
      <c r="A893" s="16">
        <v>203</v>
      </c>
      <c r="B893" s="16">
        <v>45</v>
      </c>
      <c r="C893" s="16" t="s">
        <v>7</v>
      </c>
      <c r="D893" s="16" t="s">
        <v>2</v>
      </c>
      <c r="E893" s="17">
        <f>4.762-0.794</f>
        <v>3.9679999999999995</v>
      </c>
      <c r="F893" s="18">
        <f>78700+3000+1000</f>
        <v>82700</v>
      </c>
      <c r="N893" s="21"/>
      <c r="O893" s="22"/>
    </row>
    <row r="894" spans="1:15" s="10" customFormat="1" x14ac:dyDescent="0.25">
      <c r="A894" s="16">
        <v>203</v>
      </c>
      <c r="B894" s="16">
        <v>50</v>
      </c>
      <c r="C894" s="16">
        <v>20</v>
      </c>
      <c r="D894" s="16" t="s">
        <v>85</v>
      </c>
      <c r="E894" s="17">
        <f>10.563-0.391</f>
        <v>10.172000000000001</v>
      </c>
      <c r="F894" s="18">
        <v>89700</v>
      </c>
      <c r="N894" s="21"/>
      <c r="O894" s="22"/>
    </row>
    <row r="895" spans="1:15" s="10" customFormat="1" x14ac:dyDescent="0.25">
      <c r="A895" s="16">
        <v>203</v>
      </c>
      <c r="B895" s="16">
        <v>50</v>
      </c>
      <c r="C895" s="16">
        <v>35</v>
      </c>
      <c r="D895" s="16" t="s">
        <v>85</v>
      </c>
      <c r="E895" s="17">
        <v>10.275</v>
      </c>
      <c r="F895" s="18">
        <f>89700+1000</f>
        <v>90700</v>
      </c>
      <c r="N895" s="21"/>
      <c r="O895" s="22"/>
    </row>
    <row r="896" spans="1:15" s="10" customFormat="1" x14ac:dyDescent="0.25">
      <c r="A896" s="16">
        <v>203</v>
      </c>
      <c r="B896" s="16">
        <v>50</v>
      </c>
      <c r="C896" s="16">
        <v>45</v>
      </c>
      <c r="D896" s="16" t="s">
        <v>85</v>
      </c>
      <c r="E896" s="17">
        <v>10.348000000000001</v>
      </c>
      <c r="F896" s="18">
        <f>89700+1000</f>
        <v>90700</v>
      </c>
      <c r="N896" s="21"/>
      <c r="O896" s="22"/>
    </row>
    <row r="897" spans="1:15" s="10" customFormat="1" x14ac:dyDescent="0.25">
      <c r="A897" s="16">
        <v>203</v>
      </c>
      <c r="B897" s="16">
        <v>50</v>
      </c>
      <c r="C897" s="16">
        <v>45</v>
      </c>
      <c r="D897" s="16" t="s">
        <v>85</v>
      </c>
      <c r="E897" s="17">
        <f>9.532-2.324-0.985-1.448-3.069</f>
        <v>1.7060000000000004</v>
      </c>
      <c r="F897" s="18">
        <f>86700+3000+1000</f>
        <v>90700</v>
      </c>
      <c r="N897" s="21"/>
      <c r="O897" s="22"/>
    </row>
    <row r="898" spans="1:15" s="10" customFormat="1" x14ac:dyDescent="0.25">
      <c r="A898" s="16">
        <v>203</v>
      </c>
      <c r="B898" s="16">
        <v>50</v>
      </c>
      <c r="C898" s="16" t="s">
        <v>5</v>
      </c>
      <c r="D898" s="16" t="s">
        <v>85</v>
      </c>
      <c r="E898" s="17">
        <f>9.397-1.443-3.144</f>
        <v>4.8100000000000005</v>
      </c>
      <c r="F898" s="18">
        <f>125700+1000</f>
        <v>126700</v>
      </c>
      <c r="N898" s="21"/>
      <c r="O898" s="22"/>
    </row>
    <row r="899" spans="1:15" s="10" customFormat="1" x14ac:dyDescent="0.25">
      <c r="A899" s="16">
        <v>203</v>
      </c>
      <c r="B899" s="16">
        <v>50</v>
      </c>
      <c r="C899" s="16" t="s">
        <v>5</v>
      </c>
      <c r="D899" s="16" t="s">
        <v>85</v>
      </c>
      <c r="E899" s="17">
        <v>1.5629999999999999</v>
      </c>
      <c r="F899" s="18">
        <f>125700+1000</f>
        <v>126700</v>
      </c>
      <c r="N899" s="21"/>
      <c r="O899" s="22"/>
    </row>
    <row r="900" spans="1:15" s="10" customFormat="1" x14ac:dyDescent="0.25">
      <c r="A900" s="16">
        <v>205</v>
      </c>
      <c r="B900" s="16">
        <v>17</v>
      </c>
      <c r="C900" s="16">
        <v>20</v>
      </c>
      <c r="D900" s="16" t="s">
        <v>2</v>
      </c>
      <c r="E900" s="17">
        <v>0.60399999999999998</v>
      </c>
      <c r="F900" s="18">
        <f>68700+1000</f>
        <v>69700</v>
      </c>
      <c r="N900" s="21"/>
      <c r="O900" s="22"/>
    </row>
    <row r="901" spans="1:15" s="10" customFormat="1" x14ac:dyDescent="0.25">
      <c r="A901" s="16">
        <v>212</v>
      </c>
      <c r="B901" s="16">
        <v>50</v>
      </c>
      <c r="C901" s="16" t="s">
        <v>90</v>
      </c>
      <c r="D901" s="16" t="s">
        <v>2</v>
      </c>
      <c r="E901" s="17">
        <v>5.94</v>
      </c>
      <c r="F901" s="18">
        <f>94700+1000</f>
        <v>95700</v>
      </c>
      <c r="N901" s="21"/>
      <c r="O901" s="22"/>
    </row>
    <row r="902" spans="1:15" s="10" customFormat="1" x14ac:dyDescent="0.25">
      <c r="A902" s="16">
        <v>219</v>
      </c>
      <c r="B902" s="16">
        <v>7</v>
      </c>
      <c r="C902" s="16">
        <v>20</v>
      </c>
      <c r="D902" s="16" t="s">
        <v>2</v>
      </c>
      <c r="E902" s="17">
        <v>5.0000000000000001E-3</v>
      </c>
      <c r="F902" s="18">
        <f>65700+3000+1000</f>
        <v>69700</v>
      </c>
      <c r="N902" s="21"/>
      <c r="O902" s="22"/>
    </row>
    <row r="903" spans="1:15" s="10" customFormat="1" x14ac:dyDescent="0.25">
      <c r="A903" s="16">
        <v>219</v>
      </c>
      <c r="B903" s="16">
        <v>7</v>
      </c>
      <c r="C903" s="16">
        <v>45</v>
      </c>
      <c r="D903" s="16" t="s">
        <v>2</v>
      </c>
      <c r="E903" s="17">
        <f>4.995-0.793</f>
        <v>4.202</v>
      </c>
      <c r="F903" s="18">
        <f>66700+3000+1000</f>
        <v>70700</v>
      </c>
      <c r="N903" s="21"/>
      <c r="O903" s="22"/>
    </row>
    <row r="904" spans="1:15" s="10" customFormat="1" x14ac:dyDescent="0.25">
      <c r="A904" s="16">
        <v>219</v>
      </c>
      <c r="B904" s="16">
        <v>8</v>
      </c>
      <c r="C904" s="16">
        <v>20</v>
      </c>
      <c r="D904" s="16" t="s">
        <v>2</v>
      </c>
      <c r="E904" s="17">
        <f>8.279-2.726-0.094-0.058-0.066-0.016-0.91-0.445+0.005-1.675-0.216</f>
        <v>2.0779999999999994</v>
      </c>
      <c r="F904" s="18">
        <f>65700+3000+1000</f>
        <v>69700</v>
      </c>
      <c r="N904" s="21"/>
      <c r="O904" s="22"/>
    </row>
    <row r="905" spans="1:15" s="10" customFormat="1" x14ac:dyDescent="0.25">
      <c r="A905" s="16">
        <v>219</v>
      </c>
      <c r="B905" s="16">
        <v>8</v>
      </c>
      <c r="C905" s="16">
        <v>20</v>
      </c>
      <c r="D905" s="16" t="s">
        <v>2</v>
      </c>
      <c r="E905" s="17">
        <f>0.3-0.089-0.031-0.125</f>
        <v>5.4999999999999993E-2</v>
      </c>
      <c r="F905" s="18">
        <f>68700+1000</f>
        <v>69700</v>
      </c>
      <c r="N905" s="21"/>
      <c r="O905" s="22"/>
    </row>
    <row r="906" spans="1:15" s="10" customFormat="1" x14ac:dyDescent="0.25">
      <c r="A906" s="16">
        <v>219</v>
      </c>
      <c r="B906" s="16">
        <v>8</v>
      </c>
      <c r="C906" s="16" t="s">
        <v>0</v>
      </c>
      <c r="D906" s="16" t="s">
        <v>2</v>
      </c>
      <c r="E906" s="17">
        <f>9.366-0.051-0.115-0.893-0.088-0.067-0.111-0.058-0.108-0.108-0.081</f>
        <v>7.6859999999999991</v>
      </c>
      <c r="F906" s="18">
        <f>68700+3000+1000</f>
        <v>72700</v>
      </c>
      <c r="N906" s="21"/>
      <c r="O906" s="22"/>
    </row>
    <row r="907" spans="1:15" s="10" customFormat="1" x14ac:dyDescent="0.25">
      <c r="A907" s="16">
        <v>219</v>
      </c>
      <c r="B907" s="16">
        <v>8</v>
      </c>
      <c r="C907" s="16" t="s">
        <v>30</v>
      </c>
      <c r="D907" s="16" t="s">
        <v>2</v>
      </c>
      <c r="E907" s="17">
        <v>0.19500000000000001</v>
      </c>
      <c r="F907" s="18">
        <v>81000</v>
      </c>
      <c r="N907" s="21"/>
      <c r="O907" s="22"/>
    </row>
    <row r="908" spans="1:15" s="10" customFormat="1" x14ac:dyDescent="0.25">
      <c r="A908" s="16">
        <v>219</v>
      </c>
      <c r="B908" s="16">
        <v>8</v>
      </c>
      <c r="C908" s="16" t="s">
        <v>8</v>
      </c>
      <c r="D908" s="16" t="s">
        <v>9</v>
      </c>
      <c r="E908" s="17">
        <f>4.89-0.044-0.445-4</f>
        <v>0.4009999999999998</v>
      </c>
      <c r="F908" s="18">
        <v>210000</v>
      </c>
      <c r="N908" s="21"/>
      <c r="O908" s="22"/>
    </row>
    <row r="909" spans="1:15" s="10" customFormat="1" x14ac:dyDescent="0.25">
      <c r="A909" s="16">
        <v>219</v>
      </c>
      <c r="B909" s="16">
        <v>9</v>
      </c>
      <c r="C909" s="16">
        <v>20</v>
      </c>
      <c r="D909" s="16" t="s">
        <v>2</v>
      </c>
      <c r="E909" s="17">
        <v>0.51100000000000001</v>
      </c>
      <c r="F909" s="18">
        <v>39000</v>
      </c>
      <c r="N909" s="21"/>
      <c r="O909" s="22"/>
    </row>
    <row r="910" spans="1:15" s="10" customFormat="1" x14ac:dyDescent="0.25">
      <c r="A910" s="16">
        <v>219</v>
      </c>
      <c r="B910" s="16">
        <v>9</v>
      </c>
      <c r="C910" s="16">
        <v>20</v>
      </c>
      <c r="D910" s="16" t="s">
        <v>2</v>
      </c>
      <c r="E910" s="17">
        <v>0.317</v>
      </c>
      <c r="F910" s="18">
        <v>39000</v>
      </c>
      <c r="N910" s="21"/>
      <c r="O910" s="22"/>
    </row>
    <row r="911" spans="1:15" s="10" customFormat="1" x14ac:dyDescent="0.25">
      <c r="A911" s="16">
        <v>219</v>
      </c>
      <c r="B911" s="16">
        <v>10</v>
      </c>
      <c r="C911" s="16">
        <v>20</v>
      </c>
      <c r="D911" s="16" t="s">
        <v>2</v>
      </c>
      <c r="E911" s="17">
        <f>1.56-0.195-1.179-0.03-0.111+0.006</f>
        <v>5.0999999999999941E-2</v>
      </c>
      <c r="F911" s="18">
        <f>68700+1000</f>
        <v>69700</v>
      </c>
      <c r="N911" s="21"/>
      <c r="O911" s="22"/>
    </row>
    <row r="912" spans="1:15" s="10" customFormat="1" x14ac:dyDescent="0.25">
      <c r="A912" s="16">
        <v>219</v>
      </c>
      <c r="B912" s="16">
        <v>10</v>
      </c>
      <c r="C912" s="16">
        <v>20</v>
      </c>
      <c r="D912" s="16" t="s">
        <v>85</v>
      </c>
      <c r="E912" s="17">
        <v>5</v>
      </c>
      <c r="F912" s="18">
        <f>68700+1000</f>
        <v>69700</v>
      </c>
      <c r="N912" s="21"/>
      <c r="O912" s="22"/>
    </row>
    <row r="913" spans="1:15" s="10" customFormat="1" x14ac:dyDescent="0.25">
      <c r="A913" s="16">
        <v>219</v>
      </c>
      <c r="B913" s="16">
        <v>10</v>
      </c>
      <c r="C913" s="16" t="s">
        <v>30</v>
      </c>
      <c r="D913" s="16" t="s">
        <v>45</v>
      </c>
      <c r="E913" s="17">
        <v>0.40699999999999997</v>
      </c>
      <c r="F913" s="18">
        <f>67700+3000+4000</f>
        <v>74700</v>
      </c>
      <c r="N913" s="21"/>
      <c r="O913" s="22"/>
    </row>
    <row r="914" spans="1:15" s="10" customFormat="1" x14ac:dyDescent="0.25">
      <c r="A914" s="16">
        <v>219</v>
      </c>
      <c r="B914" s="16">
        <v>11</v>
      </c>
      <c r="C914" s="16" t="s">
        <v>0</v>
      </c>
      <c r="D914" s="16" t="s">
        <v>13</v>
      </c>
      <c r="E914" s="17">
        <f>24.015-1.309</f>
        <v>22.706</v>
      </c>
      <c r="F914" s="18">
        <f>68700+3000+1000</f>
        <v>72700</v>
      </c>
      <c r="N914" s="21"/>
      <c r="O914" s="22"/>
    </row>
    <row r="915" spans="1:15" s="10" customFormat="1" x14ac:dyDescent="0.25">
      <c r="A915" s="16">
        <v>219</v>
      </c>
      <c r="B915" s="16">
        <v>11</v>
      </c>
      <c r="C915" s="16" t="s">
        <v>0</v>
      </c>
      <c r="D915" s="16" t="s">
        <v>13</v>
      </c>
      <c r="E915" s="17">
        <f>23.746-1.18-0.016-2.455-0.649-0.129-0.092-0.23</f>
        <v>18.994999999999997</v>
      </c>
      <c r="F915" s="18">
        <f>68700+3000+1000</f>
        <v>72700</v>
      </c>
      <c r="N915" s="21"/>
      <c r="O915" s="22"/>
    </row>
    <row r="916" spans="1:15" s="10" customFormat="1" x14ac:dyDescent="0.25">
      <c r="A916" s="16">
        <v>219</v>
      </c>
      <c r="B916" s="16">
        <v>11</v>
      </c>
      <c r="C916" s="16" t="s">
        <v>0</v>
      </c>
      <c r="D916" s="16" t="s">
        <v>13</v>
      </c>
      <c r="E916" s="17">
        <f>5.448-0.363</f>
        <v>5.0850000000000009</v>
      </c>
      <c r="F916" s="18">
        <f>68700+3000+1000</f>
        <v>72700</v>
      </c>
      <c r="N916" s="21"/>
      <c r="O916" s="22"/>
    </row>
    <row r="917" spans="1:15" s="10" customFormat="1" x14ac:dyDescent="0.25">
      <c r="A917" s="16">
        <v>219</v>
      </c>
      <c r="B917" s="16">
        <v>12</v>
      </c>
      <c r="C917" s="16">
        <v>20</v>
      </c>
      <c r="D917" s="16" t="s">
        <v>2</v>
      </c>
      <c r="E917" s="17">
        <v>0.69299999999999995</v>
      </c>
      <c r="F917" s="18">
        <v>39000</v>
      </c>
      <c r="N917" s="21"/>
      <c r="O917" s="22"/>
    </row>
    <row r="918" spans="1:15" s="10" customFormat="1" x14ac:dyDescent="0.25">
      <c r="A918" s="16">
        <v>219</v>
      </c>
      <c r="B918" s="16">
        <v>12</v>
      </c>
      <c r="C918" s="16">
        <v>20</v>
      </c>
      <c r="D918" s="16" t="s">
        <v>2</v>
      </c>
      <c r="E918" s="17">
        <f>1.74-0.159</f>
        <v>1.581</v>
      </c>
      <c r="F918" s="18">
        <v>69700</v>
      </c>
      <c r="N918" s="21"/>
      <c r="O918" s="22"/>
    </row>
    <row r="919" spans="1:15" s="10" customFormat="1" x14ac:dyDescent="0.25">
      <c r="A919" s="16">
        <v>219</v>
      </c>
      <c r="B919" s="16">
        <v>12</v>
      </c>
      <c r="C919" s="16" t="s">
        <v>8</v>
      </c>
      <c r="D919" s="16" t="s">
        <v>9</v>
      </c>
      <c r="E919" s="17">
        <f>4.996-0.02-1.112</f>
        <v>3.8640000000000008</v>
      </c>
      <c r="F919" s="18">
        <v>210000</v>
      </c>
      <c r="N919" s="21"/>
      <c r="O919" s="22"/>
    </row>
    <row r="920" spans="1:15" s="10" customFormat="1" x14ac:dyDescent="0.25">
      <c r="A920" s="16">
        <v>219</v>
      </c>
      <c r="B920" s="16">
        <v>13</v>
      </c>
      <c r="C920" s="16" t="s">
        <v>15</v>
      </c>
      <c r="D920" s="16" t="s">
        <v>4</v>
      </c>
      <c r="E920" s="17">
        <v>11.327999999999999</v>
      </c>
      <c r="F920" s="18">
        <v>117700</v>
      </c>
      <c r="N920" s="21"/>
      <c r="O920" s="22"/>
    </row>
    <row r="921" spans="1:15" s="10" customFormat="1" x14ac:dyDescent="0.25">
      <c r="A921" s="16">
        <v>219</v>
      </c>
      <c r="B921" s="16">
        <v>14</v>
      </c>
      <c r="C921" s="16">
        <v>20</v>
      </c>
      <c r="D921" s="16" t="s">
        <v>2</v>
      </c>
      <c r="E921" s="17">
        <v>1.206</v>
      </c>
      <c r="F921" s="18">
        <f>68700+1000</f>
        <v>69700</v>
      </c>
      <c r="N921" s="21"/>
      <c r="O921" s="22"/>
    </row>
    <row r="922" spans="1:15" s="10" customFormat="1" x14ac:dyDescent="0.25">
      <c r="A922" s="16">
        <v>219</v>
      </c>
      <c r="B922" s="16">
        <v>14</v>
      </c>
      <c r="C922" s="16" t="s">
        <v>0</v>
      </c>
      <c r="D922" s="16" t="s">
        <v>2</v>
      </c>
      <c r="E922" s="17">
        <f>5.301-0.091-0.075-0.062</f>
        <v>5.0729999999999995</v>
      </c>
      <c r="F922" s="18">
        <f>68700+3000+1000</f>
        <v>72700</v>
      </c>
      <c r="N922" s="21"/>
      <c r="O922" s="22"/>
    </row>
    <row r="923" spans="1:15" s="10" customFormat="1" x14ac:dyDescent="0.25">
      <c r="A923" s="16">
        <v>219</v>
      </c>
      <c r="B923" s="16">
        <v>14</v>
      </c>
      <c r="C923" s="16" t="s">
        <v>0</v>
      </c>
      <c r="D923" s="16" t="s">
        <v>2</v>
      </c>
      <c r="E923" s="17">
        <v>6.5679999999999996</v>
      </c>
      <c r="F923" s="18">
        <f>68700+3000+1000</f>
        <v>72700</v>
      </c>
      <c r="N923" s="21"/>
      <c r="O923" s="22"/>
    </row>
    <row r="924" spans="1:15" s="10" customFormat="1" x14ac:dyDescent="0.25">
      <c r="A924" s="16">
        <v>219</v>
      </c>
      <c r="B924" s="16">
        <v>14</v>
      </c>
      <c r="C924" s="16" t="s">
        <v>0</v>
      </c>
      <c r="D924" s="16" t="s">
        <v>2</v>
      </c>
      <c r="E924" s="17">
        <f>3.627-3.02</f>
        <v>0.60699999999999976</v>
      </c>
      <c r="F924" s="18">
        <f>68700+3000+1000</f>
        <v>72700</v>
      </c>
      <c r="N924" s="21"/>
      <c r="O924" s="22"/>
    </row>
    <row r="925" spans="1:15" s="10" customFormat="1" x14ac:dyDescent="0.25">
      <c r="A925" s="16">
        <v>219</v>
      </c>
      <c r="B925" s="16">
        <v>14</v>
      </c>
      <c r="C925" s="16" t="s">
        <v>30</v>
      </c>
      <c r="D925" s="16" t="s">
        <v>2</v>
      </c>
      <c r="E925" s="17">
        <f>1.842-0.216-0.075</f>
        <v>1.5510000000000002</v>
      </c>
      <c r="F925" s="18">
        <f>67700+3000+10300</f>
        <v>81000</v>
      </c>
      <c r="N925" s="21"/>
      <c r="O925" s="22"/>
    </row>
    <row r="926" spans="1:15" s="10" customFormat="1" x14ac:dyDescent="0.25">
      <c r="A926" s="16">
        <v>219</v>
      </c>
      <c r="B926" s="16">
        <v>14</v>
      </c>
      <c r="C926" s="16" t="s">
        <v>8</v>
      </c>
      <c r="D926" s="16" t="s">
        <v>9</v>
      </c>
      <c r="E926" s="17">
        <v>5.1319999999999997</v>
      </c>
      <c r="F926" s="18">
        <v>210000</v>
      </c>
      <c r="N926" s="21"/>
      <c r="O926" s="22"/>
    </row>
    <row r="927" spans="1:15" s="10" customFormat="1" x14ac:dyDescent="0.25">
      <c r="A927" s="16">
        <v>219</v>
      </c>
      <c r="B927" s="16">
        <v>16</v>
      </c>
      <c r="C927" s="16">
        <v>20</v>
      </c>
      <c r="D927" s="16" t="s">
        <v>2</v>
      </c>
      <c r="E927" s="17">
        <f>1.188-0.905-0.015-0.084-0.04</f>
        <v>0.14399999999999988</v>
      </c>
      <c r="F927" s="18">
        <f>65700+3000+1000</f>
        <v>69700</v>
      </c>
      <c r="N927" s="21"/>
      <c r="O927" s="22"/>
    </row>
    <row r="928" spans="1:15" s="10" customFormat="1" x14ac:dyDescent="0.25">
      <c r="A928" s="16">
        <v>219</v>
      </c>
      <c r="B928" s="16">
        <v>16</v>
      </c>
      <c r="C928" s="16" t="s">
        <v>17</v>
      </c>
      <c r="D928" s="16" t="s">
        <v>2</v>
      </c>
      <c r="E928" s="17">
        <v>11.785</v>
      </c>
      <c r="F928" s="18">
        <f>75700+1000</f>
        <v>76700</v>
      </c>
      <c r="N928" s="21"/>
      <c r="O928" s="22"/>
    </row>
    <row r="929" spans="1:15" s="10" customFormat="1" x14ac:dyDescent="0.25">
      <c r="A929" s="16">
        <v>219</v>
      </c>
      <c r="B929" s="16">
        <v>16</v>
      </c>
      <c r="C929" s="16" t="s">
        <v>0</v>
      </c>
      <c r="D929" s="16" t="s">
        <v>85</v>
      </c>
      <c r="E929" s="17">
        <v>5.8890000000000002</v>
      </c>
      <c r="F929" s="18">
        <f>68700+3000+1000</f>
        <v>72700</v>
      </c>
      <c r="N929" s="21"/>
      <c r="O929" s="22"/>
    </row>
    <row r="930" spans="1:15" s="10" customFormat="1" x14ac:dyDescent="0.25">
      <c r="A930" s="16">
        <v>219</v>
      </c>
      <c r="B930" s="16">
        <v>16</v>
      </c>
      <c r="C930" s="16" t="s">
        <v>0</v>
      </c>
      <c r="D930" s="16" t="s">
        <v>85</v>
      </c>
      <c r="E930" s="17">
        <v>0.75900000000000001</v>
      </c>
      <c r="F930" s="18">
        <f>68700+3000+1000</f>
        <v>72700</v>
      </c>
      <c r="N930" s="21"/>
      <c r="O930" s="22"/>
    </row>
    <row r="931" spans="1:15" s="10" customFormat="1" x14ac:dyDescent="0.25">
      <c r="A931" s="16">
        <v>219</v>
      </c>
      <c r="B931" s="16">
        <v>16</v>
      </c>
      <c r="C931" s="16" t="s">
        <v>8</v>
      </c>
      <c r="D931" s="16" t="s">
        <v>9</v>
      </c>
      <c r="E931" s="17">
        <v>5.0810000000000004</v>
      </c>
      <c r="F931" s="18">
        <v>210000</v>
      </c>
      <c r="N931" s="21"/>
      <c r="O931" s="22"/>
    </row>
    <row r="932" spans="1:15" s="10" customFormat="1" x14ac:dyDescent="0.25">
      <c r="A932" s="16">
        <v>219</v>
      </c>
      <c r="B932" s="16">
        <v>18</v>
      </c>
      <c r="C932" s="16">
        <v>20</v>
      </c>
      <c r="D932" s="16" t="s">
        <v>2</v>
      </c>
      <c r="E932" s="17">
        <v>1.028</v>
      </c>
      <c r="F932" s="18">
        <f>65700+3000+1000</f>
        <v>69700</v>
      </c>
      <c r="N932" s="21"/>
      <c r="O932" s="22"/>
    </row>
    <row r="933" spans="1:15" s="10" customFormat="1" x14ac:dyDescent="0.25">
      <c r="A933" s="16">
        <v>219</v>
      </c>
      <c r="B933" s="16">
        <v>18</v>
      </c>
      <c r="C933" s="16">
        <v>20</v>
      </c>
      <c r="D933" s="16" t="s">
        <v>2</v>
      </c>
      <c r="E933" s="17">
        <f>3.054-0.034-0.257-0.183-1.019</f>
        <v>1.5610000000000002</v>
      </c>
      <c r="F933" s="18">
        <f>65700+3000+1000</f>
        <v>69700</v>
      </c>
      <c r="N933" s="21"/>
      <c r="O933" s="22"/>
    </row>
    <row r="934" spans="1:15" s="10" customFormat="1" x14ac:dyDescent="0.25">
      <c r="A934" s="16">
        <v>219</v>
      </c>
      <c r="B934" s="16">
        <v>18</v>
      </c>
      <c r="C934" s="16">
        <v>20</v>
      </c>
      <c r="D934" s="16" t="s">
        <v>2</v>
      </c>
      <c r="E934" s="17">
        <f>4.568-0.535-0.314-1.835-0.907+0.002</f>
        <v>0.97899999999999943</v>
      </c>
      <c r="F934" s="18">
        <f>65700+3000+1000</f>
        <v>69700</v>
      </c>
      <c r="N934" s="21"/>
      <c r="O934" s="22"/>
    </row>
    <row r="935" spans="1:15" s="10" customFormat="1" x14ac:dyDescent="0.25">
      <c r="A935" s="16">
        <v>219</v>
      </c>
      <c r="B935" s="16">
        <v>18</v>
      </c>
      <c r="C935" s="16" t="s">
        <v>0</v>
      </c>
      <c r="D935" s="16" t="s">
        <v>2</v>
      </c>
      <c r="E935" s="17">
        <f>1.341-0.775</f>
        <v>0.56599999999999995</v>
      </c>
      <c r="F935" s="18">
        <f>68700+3000+1000</f>
        <v>72700</v>
      </c>
      <c r="N935" s="21"/>
      <c r="O935" s="22"/>
    </row>
    <row r="936" spans="1:15" s="10" customFormat="1" x14ac:dyDescent="0.25">
      <c r="A936" s="16">
        <v>219</v>
      </c>
      <c r="B936" s="16">
        <v>18</v>
      </c>
      <c r="C936" s="16" t="s">
        <v>0</v>
      </c>
      <c r="D936" s="16" t="s">
        <v>2</v>
      </c>
      <c r="E936" s="17">
        <f>2.063-1.352</f>
        <v>0.71100000000000008</v>
      </c>
      <c r="F936" s="18">
        <f>68700+3000+1000</f>
        <v>72700</v>
      </c>
      <c r="N936" s="21"/>
      <c r="O936" s="22"/>
    </row>
    <row r="937" spans="1:15" s="10" customFormat="1" x14ac:dyDescent="0.25">
      <c r="A937" s="16">
        <v>219</v>
      </c>
      <c r="B937" s="16">
        <v>18</v>
      </c>
      <c r="C937" s="16" t="s">
        <v>0</v>
      </c>
      <c r="D937" s="16" t="s">
        <v>2</v>
      </c>
      <c r="E937" s="17">
        <f>1.336-0.05-0.048-0.218-0.04-0.067-0.666+0.007</f>
        <v>0.254</v>
      </c>
      <c r="F937" s="18">
        <f>68700+3000+1000</f>
        <v>72700</v>
      </c>
      <c r="N937" s="21"/>
      <c r="O937" s="22"/>
    </row>
    <row r="938" spans="1:15" s="10" customFormat="1" x14ac:dyDescent="0.25">
      <c r="A938" s="16">
        <v>219</v>
      </c>
      <c r="B938" s="16">
        <v>18</v>
      </c>
      <c r="C938" s="16" t="s">
        <v>0</v>
      </c>
      <c r="D938" s="16" t="s">
        <v>85</v>
      </c>
      <c r="E938" s="17">
        <v>5.4020000000000001</v>
      </c>
      <c r="F938" s="18">
        <f>68700+3000+1000</f>
        <v>72700</v>
      </c>
      <c r="N938" s="21"/>
      <c r="O938" s="22"/>
    </row>
    <row r="939" spans="1:15" s="10" customFormat="1" x14ac:dyDescent="0.25">
      <c r="A939" s="16">
        <v>219</v>
      </c>
      <c r="B939" s="16">
        <v>18</v>
      </c>
      <c r="C939" s="16" t="s">
        <v>30</v>
      </c>
      <c r="D939" s="16" t="s">
        <v>2</v>
      </c>
      <c r="E939" s="17">
        <v>14.961</v>
      </c>
      <c r="F939" s="18">
        <f>78000+3000</f>
        <v>81000</v>
      </c>
      <c r="N939" s="21"/>
      <c r="O939" s="22"/>
    </row>
    <row r="940" spans="1:15" s="10" customFormat="1" x14ac:dyDescent="0.25">
      <c r="A940" s="16">
        <v>219</v>
      </c>
      <c r="B940" s="16">
        <v>18</v>
      </c>
      <c r="C940" s="16" t="s">
        <v>30</v>
      </c>
      <c r="D940" s="16" t="s">
        <v>2</v>
      </c>
      <c r="E940" s="17">
        <v>0.45800000000000002</v>
      </c>
      <c r="F940" s="18">
        <f>78000+3000</f>
        <v>81000</v>
      </c>
      <c r="N940" s="21"/>
      <c r="O940" s="22"/>
    </row>
    <row r="941" spans="1:15" s="10" customFormat="1" x14ac:dyDescent="0.25">
      <c r="A941" s="16">
        <v>219</v>
      </c>
      <c r="B941" s="16">
        <v>18</v>
      </c>
      <c r="C941" s="16" t="s">
        <v>5</v>
      </c>
      <c r="D941" s="16" t="s">
        <v>2</v>
      </c>
      <c r="E941" s="17">
        <v>4.976</v>
      </c>
      <c r="F941" s="18">
        <f>78700+3000+1000</f>
        <v>82700</v>
      </c>
      <c r="N941" s="21"/>
      <c r="O941" s="22"/>
    </row>
    <row r="942" spans="1:15" s="10" customFormat="1" x14ac:dyDescent="0.25">
      <c r="A942" s="16">
        <v>219</v>
      </c>
      <c r="B942" s="16">
        <v>18</v>
      </c>
      <c r="C942" s="16" t="s">
        <v>5</v>
      </c>
      <c r="D942" s="16" t="s">
        <v>2</v>
      </c>
      <c r="E942" s="17">
        <v>1.498</v>
      </c>
      <c r="F942" s="18">
        <f>78700+3000+1000</f>
        <v>82700</v>
      </c>
      <c r="N942" s="21"/>
      <c r="O942" s="22"/>
    </row>
    <row r="943" spans="1:15" s="10" customFormat="1" x14ac:dyDescent="0.25">
      <c r="A943" s="16">
        <v>219</v>
      </c>
      <c r="B943" s="16">
        <v>18</v>
      </c>
      <c r="C943" s="16" t="s">
        <v>8</v>
      </c>
      <c r="D943" s="16" t="s">
        <v>9</v>
      </c>
      <c r="E943" s="17">
        <v>4.851</v>
      </c>
      <c r="F943" s="18">
        <v>210000</v>
      </c>
      <c r="N943" s="21"/>
      <c r="O943" s="22"/>
    </row>
    <row r="944" spans="1:15" s="10" customFormat="1" x14ac:dyDescent="0.25">
      <c r="A944" s="16">
        <v>219</v>
      </c>
      <c r="B944" s="16">
        <v>20</v>
      </c>
      <c r="C944" s="16">
        <v>35</v>
      </c>
      <c r="D944" s="16" t="s">
        <v>2</v>
      </c>
      <c r="E944" s="17">
        <v>6.28</v>
      </c>
      <c r="F944" s="18">
        <f>66700+3000+1000</f>
        <v>70700</v>
      </c>
      <c r="N944" s="21"/>
      <c r="O944" s="22"/>
    </row>
    <row r="945" spans="1:15" s="10" customFormat="1" x14ac:dyDescent="0.25">
      <c r="A945" s="16">
        <v>219</v>
      </c>
      <c r="B945" s="16">
        <v>20</v>
      </c>
      <c r="C945" s="16">
        <v>45</v>
      </c>
      <c r="D945" s="16" t="s">
        <v>2</v>
      </c>
      <c r="E945" s="17">
        <v>5.1470000000000002</v>
      </c>
      <c r="F945" s="18">
        <f>66700+3000+1000</f>
        <v>70700</v>
      </c>
      <c r="N945" s="21"/>
      <c r="O945" s="22"/>
    </row>
    <row r="946" spans="1:15" s="10" customFormat="1" x14ac:dyDescent="0.25">
      <c r="A946" s="16">
        <v>219</v>
      </c>
      <c r="B946" s="16">
        <v>22</v>
      </c>
      <c r="C946" s="16">
        <v>20</v>
      </c>
      <c r="D946" s="16" t="s">
        <v>85</v>
      </c>
      <c r="E946" s="17">
        <v>4.8920000000000003</v>
      </c>
      <c r="F946" s="18">
        <f>68700+1000</f>
        <v>69700</v>
      </c>
      <c r="N946" s="21"/>
      <c r="O946" s="22"/>
    </row>
    <row r="947" spans="1:15" s="10" customFormat="1" x14ac:dyDescent="0.25">
      <c r="A947" s="16">
        <v>219</v>
      </c>
      <c r="B947" s="16">
        <v>22</v>
      </c>
      <c r="C947" s="16" t="s">
        <v>0</v>
      </c>
      <c r="D947" s="16" t="s">
        <v>2</v>
      </c>
      <c r="E947" s="17">
        <f>0.79-0.111-0.324+0.001</f>
        <v>0.35600000000000004</v>
      </c>
      <c r="F947" s="18">
        <f>68700+3000+1000</f>
        <v>72700</v>
      </c>
      <c r="N947" s="21"/>
      <c r="O947" s="22"/>
    </row>
    <row r="948" spans="1:15" s="10" customFormat="1" x14ac:dyDescent="0.25">
      <c r="A948" s="16">
        <v>219</v>
      </c>
      <c r="B948" s="16">
        <v>22</v>
      </c>
      <c r="C948" s="16" t="s">
        <v>0</v>
      </c>
      <c r="D948" s="16" t="s">
        <v>2</v>
      </c>
      <c r="E948" s="17">
        <f>2.03-0.057-1.343-0.118-0.321-0.058-0.112</f>
        <v>2.0999999999999894E-2</v>
      </c>
      <c r="F948" s="18">
        <f>68700+3000+1000</f>
        <v>72700</v>
      </c>
      <c r="N948" s="21"/>
      <c r="O948" s="22"/>
    </row>
    <row r="949" spans="1:15" s="10" customFormat="1" x14ac:dyDescent="0.25">
      <c r="A949" s="16">
        <v>219</v>
      </c>
      <c r="B949" s="16">
        <v>22</v>
      </c>
      <c r="C949" s="16" t="s">
        <v>0</v>
      </c>
      <c r="D949" s="16" t="s">
        <v>85</v>
      </c>
      <c r="E949" s="17">
        <v>5</v>
      </c>
      <c r="F949" s="18">
        <v>72700</v>
      </c>
      <c r="N949" s="21"/>
      <c r="O949" s="22"/>
    </row>
    <row r="950" spans="1:15" s="10" customFormat="1" x14ac:dyDescent="0.25">
      <c r="A950" s="16">
        <v>219</v>
      </c>
      <c r="B950" s="16">
        <v>25</v>
      </c>
      <c r="C950" s="16">
        <v>20</v>
      </c>
      <c r="D950" s="16" t="s">
        <v>2</v>
      </c>
      <c r="E950" s="17">
        <f>10.442-0.243-1.903</f>
        <v>8.2959999999999994</v>
      </c>
      <c r="F950" s="18">
        <f>65700+3000+1000</f>
        <v>69700</v>
      </c>
      <c r="N950" s="21"/>
      <c r="O950" s="22"/>
    </row>
    <row r="951" spans="1:15" s="10" customFormat="1" x14ac:dyDescent="0.25">
      <c r="A951" s="16">
        <v>219</v>
      </c>
      <c r="B951" s="16">
        <v>25</v>
      </c>
      <c r="C951" s="16" t="s">
        <v>0</v>
      </c>
      <c r="D951" s="16" t="s">
        <v>2</v>
      </c>
      <c r="E951" s="17">
        <f>6.715-0.933-0.156-0.125-0.066-1.51+0.016-0.98</f>
        <v>2.9610000000000007</v>
      </c>
      <c r="F951" s="18">
        <f>68700+3000+1000</f>
        <v>72700</v>
      </c>
      <c r="N951" s="21"/>
      <c r="O951" s="22"/>
    </row>
    <row r="952" spans="1:15" s="10" customFormat="1" x14ac:dyDescent="0.25">
      <c r="A952" s="16">
        <v>219</v>
      </c>
      <c r="B952" s="16">
        <v>25</v>
      </c>
      <c r="C952" s="16" t="s">
        <v>0</v>
      </c>
      <c r="D952" s="16" t="s">
        <v>2</v>
      </c>
      <c r="E952" s="17">
        <f>5.272-0.124-0.246-0.638-0.048-0.808-0.776-0.725</f>
        <v>1.9070000000000014</v>
      </c>
      <c r="F952" s="18">
        <f>68700+3000+1000</f>
        <v>72700</v>
      </c>
      <c r="N952" s="21"/>
      <c r="O952" s="22"/>
    </row>
    <row r="953" spans="1:15" s="10" customFormat="1" x14ac:dyDescent="0.25">
      <c r="A953" s="16">
        <v>219</v>
      </c>
      <c r="B953" s="16">
        <v>25</v>
      </c>
      <c r="C953" s="16">
        <v>45</v>
      </c>
      <c r="D953" s="16" t="s">
        <v>2</v>
      </c>
      <c r="E953" s="17">
        <f>6.032-0.784-0.807-0.886-1.799-0.895</f>
        <v>0.86099999999999977</v>
      </c>
      <c r="F953" s="18">
        <f>66700+3000+1000</f>
        <v>70700</v>
      </c>
      <c r="N953" s="21"/>
      <c r="O953" s="22"/>
    </row>
    <row r="954" spans="1:15" s="10" customFormat="1" x14ac:dyDescent="0.25">
      <c r="A954" s="16">
        <v>219</v>
      </c>
      <c r="B954" s="16">
        <v>26</v>
      </c>
      <c r="C954" s="16">
        <v>35</v>
      </c>
      <c r="D954" s="16" t="s">
        <v>2</v>
      </c>
      <c r="E954" s="17">
        <f>5.552-3.26</f>
        <v>2.2919999999999998</v>
      </c>
      <c r="F954" s="18">
        <f>69700+1000</f>
        <v>70700</v>
      </c>
      <c r="N954" s="21"/>
      <c r="O954" s="22"/>
    </row>
    <row r="955" spans="1:15" s="10" customFormat="1" x14ac:dyDescent="0.25">
      <c r="A955" s="16">
        <v>219</v>
      </c>
      <c r="B955" s="16">
        <v>28</v>
      </c>
      <c r="C955" s="16">
        <v>35</v>
      </c>
      <c r="D955" s="16" t="s">
        <v>2</v>
      </c>
      <c r="E955" s="17">
        <v>1.01</v>
      </c>
      <c r="F955" s="18">
        <f>69700+1000</f>
        <v>70700</v>
      </c>
      <c r="N955" s="21"/>
      <c r="O955" s="22"/>
    </row>
    <row r="956" spans="1:15" s="10" customFormat="1" x14ac:dyDescent="0.25">
      <c r="A956" s="16">
        <v>219</v>
      </c>
      <c r="B956" s="16">
        <v>30</v>
      </c>
      <c r="C956" s="16">
        <v>20</v>
      </c>
      <c r="D956" s="16" t="s">
        <v>85</v>
      </c>
      <c r="E956" s="17">
        <v>5.6310000000000002</v>
      </c>
      <c r="F956" s="18">
        <f>68700+1000</f>
        <v>69700</v>
      </c>
      <c r="N956" s="21"/>
      <c r="O956" s="22"/>
    </row>
    <row r="957" spans="1:15" s="10" customFormat="1" x14ac:dyDescent="0.25">
      <c r="A957" s="16">
        <v>219</v>
      </c>
      <c r="B957" s="16">
        <v>30</v>
      </c>
      <c r="C957" s="16">
        <v>20</v>
      </c>
      <c r="D957" s="16" t="s">
        <v>2</v>
      </c>
      <c r="E957" s="17">
        <f>5.612-0.294</f>
        <v>5.3180000000000005</v>
      </c>
      <c r="F957" s="18">
        <f>68700+1000</f>
        <v>69700</v>
      </c>
      <c r="N957" s="21"/>
      <c r="O957" s="22"/>
    </row>
    <row r="958" spans="1:15" s="10" customFormat="1" x14ac:dyDescent="0.25">
      <c r="A958" s="16">
        <v>219</v>
      </c>
      <c r="B958" s="16">
        <v>30</v>
      </c>
      <c r="C958" s="16">
        <v>35</v>
      </c>
      <c r="D958" s="16" t="s">
        <v>2</v>
      </c>
      <c r="E958" s="17">
        <f>6.096-0.363-0.146-0.375-0.181</f>
        <v>5.0310000000000006</v>
      </c>
      <c r="F958" s="18">
        <f>66700+3000+1000</f>
        <v>70700</v>
      </c>
      <c r="N958" s="21"/>
      <c r="O958" s="22"/>
    </row>
    <row r="959" spans="1:15" s="10" customFormat="1" x14ac:dyDescent="0.25">
      <c r="A959" s="16">
        <v>219</v>
      </c>
      <c r="B959" s="16">
        <v>30</v>
      </c>
      <c r="C959" s="16">
        <v>45</v>
      </c>
      <c r="D959" s="16" t="s">
        <v>2</v>
      </c>
      <c r="E959" s="17">
        <f>6.309-0.161-0.041</f>
        <v>6.1070000000000002</v>
      </c>
      <c r="F959" s="18">
        <f>66700+3000+1000</f>
        <v>70700</v>
      </c>
      <c r="N959" s="21"/>
      <c r="O959" s="22"/>
    </row>
    <row r="960" spans="1:15" s="10" customFormat="1" x14ac:dyDescent="0.25">
      <c r="A960" s="16">
        <v>219</v>
      </c>
      <c r="B960" s="16">
        <v>30</v>
      </c>
      <c r="C960" s="16" t="s">
        <v>5</v>
      </c>
      <c r="D960" s="16" t="s">
        <v>2</v>
      </c>
      <c r="E960" s="17">
        <f>6.074-0.244-0.755-0.101-1.926-0.075-0.286-1.022</f>
        <v>1.6649999999999998</v>
      </c>
      <c r="F960" s="18">
        <f>78700+3000+1000</f>
        <v>82700</v>
      </c>
      <c r="N960" s="21"/>
      <c r="O960" s="22"/>
    </row>
    <row r="961" spans="1:15" s="10" customFormat="1" x14ac:dyDescent="0.25">
      <c r="A961" s="16">
        <v>219</v>
      </c>
      <c r="B961" s="16">
        <v>30</v>
      </c>
      <c r="C961" s="16" t="s">
        <v>7</v>
      </c>
      <c r="D961" s="16" t="s">
        <v>2</v>
      </c>
      <c r="E961" s="17">
        <f>5.925-1.019</f>
        <v>4.9059999999999997</v>
      </c>
      <c r="F961" s="18">
        <f>78700+3000+1000</f>
        <v>82700</v>
      </c>
      <c r="N961" s="21"/>
      <c r="O961" s="22"/>
    </row>
    <row r="962" spans="1:15" s="10" customFormat="1" x14ac:dyDescent="0.25">
      <c r="A962" s="16">
        <v>219</v>
      </c>
      <c r="B962" s="16">
        <v>32</v>
      </c>
      <c r="C962" s="16">
        <v>45</v>
      </c>
      <c r="D962" s="16" t="s">
        <v>2</v>
      </c>
      <c r="E962" s="17">
        <v>1.8029999999999999</v>
      </c>
      <c r="F962" s="18">
        <f>66700+3000+1000</f>
        <v>70700</v>
      </c>
      <c r="N962" s="21"/>
      <c r="O962" s="22"/>
    </row>
    <row r="963" spans="1:15" s="10" customFormat="1" x14ac:dyDescent="0.25">
      <c r="A963" s="16">
        <v>219</v>
      </c>
      <c r="B963" s="16">
        <v>32</v>
      </c>
      <c r="C963" s="16" t="s">
        <v>0</v>
      </c>
      <c r="D963" s="16" t="s">
        <v>2</v>
      </c>
      <c r="E963" s="17">
        <f>5.023-2.05-0.974-0.029</f>
        <v>1.97</v>
      </c>
      <c r="F963" s="18">
        <f>68700+3000+1000</f>
        <v>72700</v>
      </c>
      <c r="N963" s="21"/>
      <c r="O963" s="22"/>
    </row>
    <row r="964" spans="1:15" s="10" customFormat="1" x14ac:dyDescent="0.25">
      <c r="A964" s="16">
        <v>219</v>
      </c>
      <c r="B964" s="16">
        <v>36</v>
      </c>
      <c r="C964" s="16">
        <v>20</v>
      </c>
      <c r="D964" s="16" t="s">
        <v>2</v>
      </c>
      <c r="E964" s="17">
        <f>2.181-0.087</f>
        <v>2.0939999999999999</v>
      </c>
      <c r="F964" s="18">
        <f>65700+3000+1000</f>
        <v>69700</v>
      </c>
      <c r="N964" s="21"/>
      <c r="O964" s="22"/>
    </row>
    <row r="965" spans="1:15" s="10" customFormat="1" x14ac:dyDescent="0.25">
      <c r="A965" s="16">
        <v>219</v>
      </c>
      <c r="B965" s="16">
        <v>36</v>
      </c>
      <c r="C965" s="16">
        <v>20</v>
      </c>
      <c r="D965" s="16" t="s">
        <v>85</v>
      </c>
      <c r="E965" s="17">
        <v>10.491</v>
      </c>
      <c r="F965" s="18">
        <f>68700+1000</f>
        <v>69700</v>
      </c>
      <c r="N965" s="21"/>
      <c r="O965" s="22"/>
    </row>
    <row r="966" spans="1:15" s="10" customFormat="1" x14ac:dyDescent="0.25">
      <c r="A966" s="16">
        <v>219</v>
      </c>
      <c r="B966" s="16">
        <v>36</v>
      </c>
      <c r="C966" s="16">
        <v>35</v>
      </c>
      <c r="D966" s="16" t="s">
        <v>2</v>
      </c>
      <c r="E966" s="17">
        <f>5.126-1.375-2.95-0.308</f>
        <v>0.49300000000000016</v>
      </c>
      <c r="F966" s="18">
        <f>66700+3000+1000</f>
        <v>70700</v>
      </c>
      <c r="N966" s="21"/>
      <c r="O966" s="22"/>
    </row>
    <row r="967" spans="1:15" s="10" customFormat="1" x14ac:dyDescent="0.25">
      <c r="A967" s="16">
        <v>219</v>
      </c>
      <c r="B967" s="16">
        <v>36</v>
      </c>
      <c r="C967" s="16">
        <v>35</v>
      </c>
      <c r="D967" s="16" t="s">
        <v>85</v>
      </c>
      <c r="E967" s="17">
        <v>12.442</v>
      </c>
      <c r="F967" s="18">
        <f>69700+1000</f>
        <v>70700</v>
      </c>
      <c r="N967" s="21"/>
      <c r="O967" s="22"/>
    </row>
    <row r="968" spans="1:15" s="10" customFormat="1" x14ac:dyDescent="0.25">
      <c r="A968" s="16">
        <v>219</v>
      </c>
      <c r="B968" s="16">
        <v>36</v>
      </c>
      <c r="C968" s="16">
        <v>45</v>
      </c>
      <c r="D968" s="16" t="s">
        <v>85</v>
      </c>
      <c r="E968" s="17">
        <v>4.6360000000000001</v>
      </c>
      <c r="F968" s="18">
        <f>69700+1000</f>
        <v>70700</v>
      </c>
      <c r="N968" s="21"/>
      <c r="O968" s="22"/>
    </row>
    <row r="969" spans="1:15" s="10" customFormat="1" x14ac:dyDescent="0.25">
      <c r="A969" s="16">
        <v>219</v>
      </c>
      <c r="B969" s="16">
        <v>36</v>
      </c>
      <c r="C969" s="16" t="s">
        <v>0</v>
      </c>
      <c r="D969" s="16" t="s">
        <v>85</v>
      </c>
      <c r="E969" s="17">
        <v>10.32</v>
      </c>
      <c r="F969" s="18">
        <f>68700+3000+1000</f>
        <v>72700</v>
      </c>
      <c r="N969" s="21"/>
      <c r="O969" s="22"/>
    </row>
    <row r="970" spans="1:15" s="10" customFormat="1" x14ac:dyDescent="0.25">
      <c r="A970" s="16">
        <v>219</v>
      </c>
      <c r="B970" s="16">
        <v>36</v>
      </c>
      <c r="C970" s="16" t="s">
        <v>5</v>
      </c>
      <c r="D970" s="16" t="s">
        <v>2</v>
      </c>
      <c r="E970" s="17">
        <f>6.342-0.511-0.186-0.665-1.11-0.733-0.168-0.842-1.069-0.347</f>
        <v>0.71099999999999897</v>
      </c>
      <c r="F970" s="18">
        <f>78700+3000+1000</f>
        <v>82700</v>
      </c>
      <c r="N970" s="21"/>
      <c r="O970" s="22"/>
    </row>
    <row r="971" spans="1:15" s="10" customFormat="1" x14ac:dyDescent="0.25">
      <c r="A971" s="16">
        <v>219</v>
      </c>
      <c r="B971" s="16">
        <v>36</v>
      </c>
      <c r="C971" s="16" t="s">
        <v>5</v>
      </c>
      <c r="D971" s="16" t="s">
        <v>85</v>
      </c>
      <c r="E971" s="17">
        <v>5</v>
      </c>
      <c r="F971" s="18">
        <v>82700</v>
      </c>
      <c r="N971" s="21"/>
      <c r="O971" s="22"/>
    </row>
    <row r="972" spans="1:15" s="10" customFormat="1" x14ac:dyDescent="0.25">
      <c r="A972" s="16">
        <v>219</v>
      </c>
      <c r="B972" s="16">
        <v>40</v>
      </c>
      <c r="C972" s="16">
        <v>20</v>
      </c>
      <c r="D972" s="16" t="s">
        <v>85</v>
      </c>
      <c r="E972" s="17">
        <v>19.655999999999999</v>
      </c>
      <c r="F972" s="18">
        <f>68700+1000</f>
        <v>69700</v>
      </c>
      <c r="N972" s="21"/>
      <c r="O972" s="22"/>
    </row>
    <row r="973" spans="1:15" s="10" customFormat="1" x14ac:dyDescent="0.25">
      <c r="A973" s="16">
        <v>219</v>
      </c>
      <c r="B973" s="16">
        <v>40</v>
      </c>
      <c r="C973" s="16">
        <v>35</v>
      </c>
      <c r="D973" s="16" t="s">
        <v>85</v>
      </c>
      <c r="E973" s="17">
        <v>4.7060000000000004</v>
      </c>
      <c r="F973" s="18">
        <f>69700+1000</f>
        <v>70700</v>
      </c>
      <c r="N973" s="21"/>
      <c r="O973" s="22"/>
    </row>
    <row r="974" spans="1:15" s="10" customFormat="1" x14ac:dyDescent="0.25">
      <c r="A974" s="16">
        <v>219</v>
      </c>
      <c r="B974" s="16">
        <v>40</v>
      </c>
      <c r="C974" s="16">
        <v>45</v>
      </c>
      <c r="D974" s="16" t="s">
        <v>85</v>
      </c>
      <c r="E974" s="17">
        <v>4.7480000000000002</v>
      </c>
      <c r="F974" s="18">
        <f>69700+1000</f>
        <v>70700</v>
      </c>
      <c r="N974" s="21"/>
      <c r="O974" s="22"/>
    </row>
    <row r="975" spans="1:15" s="10" customFormat="1" x14ac:dyDescent="0.25">
      <c r="A975" s="16">
        <v>219</v>
      </c>
      <c r="B975" s="16">
        <v>40</v>
      </c>
      <c r="C975" s="16" t="s">
        <v>0</v>
      </c>
      <c r="D975" s="16" t="s">
        <v>2</v>
      </c>
      <c r="E975" s="17">
        <f>4.968-0.914-1.062-0.942-1.004</f>
        <v>1.0459999999999998</v>
      </c>
      <c r="F975" s="18">
        <f>68700+3000+1000</f>
        <v>72700</v>
      </c>
      <c r="N975" s="21"/>
      <c r="O975" s="22"/>
    </row>
    <row r="976" spans="1:15" s="10" customFormat="1" x14ac:dyDescent="0.25">
      <c r="A976" s="16">
        <v>219</v>
      </c>
      <c r="B976" s="16">
        <v>40</v>
      </c>
      <c r="C976" s="16" t="s">
        <v>5</v>
      </c>
      <c r="D976" s="16" t="s">
        <v>85</v>
      </c>
      <c r="E976" s="17">
        <v>5</v>
      </c>
      <c r="F976" s="18">
        <v>82700</v>
      </c>
      <c r="N976" s="21"/>
      <c r="O976" s="22"/>
    </row>
    <row r="977" spans="1:15" s="10" customFormat="1" x14ac:dyDescent="0.25">
      <c r="A977" s="16">
        <v>219</v>
      </c>
      <c r="B977" s="16">
        <v>45</v>
      </c>
      <c r="C977" s="16">
        <v>20</v>
      </c>
      <c r="D977" s="16" t="s">
        <v>2</v>
      </c>
      <c r="E977" s="17">
        <f>3.435-0.406</f>
        <v>3.0289999999999999</v>
      </c>
      <c r="F977" s="18">
        <f>65700+3000+1000</f>
        <v>69700</v>
      </c>
      <c r="N977" s="21"/>
      <c r="O977" s="22"/>
    </row>
    <row r="978" spans="1:15" s="10" customFormat="1" x14ac:dyDescent="0.25">
      <c r="A978" s="16">
        <v>219</v>
      </c>
      <c r="B978" s="16">
        <v>45</v>
      </c>
      <c r="C978" s="16">
        <v>20</v>
      </c>
      <c r="D978" s="16" t="s">
        <v>2</v>
      </c>
      <c r="E978" s="17">
        <v>2.9889999999999999</v>
      </c>
      <c r="F978" s="18">
        <f>68700+1000</f>
        <v>69700</v>
      </c>
      <c r="N978" s="21"/>
      <c r="O978" s="22"/>
    </row>
    <row r="979" spans="1:15" s="10" customFormat="1" x14ac:dyDescent="0.25">
      <c r="A979" s="16">
        <v>219</v>
      </c>
      <c r="B979" s="16">
        <v>45</v>
      </c>
      <c r="C979" s="16">
        <v>20</v>
      </c>
      <c r="D979" s="16" t="s">
        <v>2</v>
      </c>
      <c r="E979" s="17">
        <v>5.72</v>
      </c>
      <c r="F979" s="18">
        <f>65700+3000+1000</f>
        <v>69700</v>
      </c>
      <c r="N979" s="21"/>
      <c r="O979" s="22"/>
    </row>
    <row r="980" spans="1:15" s="10" customFormat="1" x14ac:dyDescent="0.25">
      <c r="A980" s="16">
        <v>219</v>
      </c>
      <c r="B980" s="16">
        <v>45</v>
      </c>
      <c r="C980" s="16">
        <v>35</v>
      </c>
      <c r="D980" s="16" t="s">
        <v>85</v>
      </c>
      <c r="E980" s="17">
        <v>5.7750000000000004</v>
      </c>
      <c r="F980" s="18">
        <f>69700+1000</f>
        <v>70700</v>
      </c>
      <c r="N980" s="21"/>
      <c r="O980" s="22"/>
    </row>
    <row r="981" spans="1:15" s="10" customFormat="1" x14ac:dyDescent="0.25">
      <c r="A981" s="16">
        <v>219</v>
      </c>
      <c r="B981" s="16">
        <v>45</v>
      </c>
      <c r="C981" s="16">
        <v>45</v>
      </c>
      <c r="D981" s="16" t="s">
        <v>85</v>
      </c>
      <c r="E981" s="17">
        <v>5</v>
      </c>
      <c r="F981" s="18">
        <v>70700</v>
      </c>
      <c r="N981" s="21"/>
      <c r="O981" s="22"/>
    </row>
    <row r="982" spans="1:15" s="10" customFormat="1" x14ac:dyDescent="0.25">
      <c r="A982" s="16">
        <v>219</v>
      </c>
      <c r="B982" s="16">
        <v>45</v>
      </c>
      <c r="C982" s="16" t="s">
        <v>0</v>
      </c>
      <c r="D982" s="16" t="s">
        <v>2</v>
      </c>
      <c r="E982" s="17">
        <v>0.68500000000000005</v>
      </c>
      <c r="F982" s="18">
        <f>68700+3000+1000</f>
        <v>72700</v>
      </c>
      <c r="N982" s="21"/>
      <c r="O982" s="22"/>
    </row>
    <row r="983" spans="1:15" s="10" customFormat="1" x14ac:dyDescent="0.25">
      <c r="A983" s="16">
        <v>219</v>
      </c>
      <c r="B983" s="16">
        <v>45</v>
      </c>
      <c r="C983" s="16" t="s">
        <v>0</v>
      </c>
      <c r="D983" s="16" t="s">
        <v>85</v>
      </c>
      <c r="E983" s="17">
        <v>10.765000000000001</v>
      </c>
      <c r="F983" s="18">
        <f>68700+3000+1000</f>
        <v>72700</v>
      </c>
      <c r="N983" s="21"/>
      <c r="O983" s="22"/>
    </row>
    <row r="984" spans="1:15" s="10" customFormat="1" x14ac:dyDescent="0.25">
      <c r="A984" s="16">
        <v>219</v>
      </c>
      <c r="B984" s="16">
        <v>45</v>
      </c>
      <c r="C984" s="16" t="s">
        <v>5</v>
      </c>
      <c r="D984" s="16" t="s">
        <v>85</v>
      </c>
      <c r="E984" s="17">
        <v>5</v>
      </c>
      <c r="F984" s="18">
        <v>82700</v>
      </c>
      <c r="N984" s="21"/>
      <c r="O984" s="22"/>
    </row>
    <row r="985" spans="1:15" s="10" customFormat="1" x14ac:dyDescent="0.25">
      <c r="A985" s="16">
        <v>219</v>
      </c>
      <c r="B985" s="16">
        <v>45</v>
      </c>
      <c r="C985" s="16" t="s">
        <v>7</v>
      </c>
      <c r="D985" s="16" t="s">
        <v>2</v>
      </c>
      <c r="E985" s="17">
        <v>5</v>
      </c>
      <c r="F985" s="18">
        <f>81700+1000</f>
        <v>82700</v>
      </c>
      <c r="N985" s="21"/>
      <c r="O985" s="22"/>
    </row>
    <row r="986" spans="1:15" s="10" customFormat="1" x14ac:dyDescent="0.25">
      <c r="A986" s="16">
        <v>219</v>
      </c>
      <c r="B986" s="16">
        <v>50</v>
      </c>
      <c r="C986" s="16">
        <v>20</v>
      </c>
      <c r="D986" s="16" t="s">
        <v>2</v>
      </c>
      <c r="E986" s="17">
        <f>11.338-0.125</f>
        <v>11.212999999999999</v>
      </c>
      <c r="F986" s="18">
        <f>87700+1000</f>
        <v>88700</v>
      </c>
      <c r="N986" s="21"/>
      <c r="O986" s="22"/>
    </row>
    <row r="987" spans="1:15" s="10" customFormat="1" x14ac:dyDescent="0.25">
      <c r="A987" s="16">
        <v>219</v>
      </c>
      <c r="B987" s="16">
        <v>50</v>
      </c>
      <c r="C987" s="16">
        <v>35</v>
      </c>
      <c r="D987" s="16" t="s">
        <v>2</v>
      </c>
      <c r="E987" s="17">
        <f>11.585-0.125-0.472</f>
        <v>10.988000000000001</v>
      </c>
      <c r="F987" s="18">
        <f>86700+3000+1000</f>
        <v>90700</v>
      </c>
      <c r="N987" s="21"/>
      <c r="O987" s="22"/>
    </row>
    <row r="988" spans="1:15" s="10" customFormat="1" x14ac:dyDescent="0.25">
      <c r="A988" s="16">
        <v>219</v>
      </c>
      <c r="B988" s="16">
        <v>50</v>
      </c>
      <c r="C988" s="16">
        <v>45</v>
      </c>
      <c r="D988" s="16" t="s">
        <v>2</v>
      </c>
      <c r="E988" s="17">
        <f>10.846-0.059-3.082-3.08</f>
        <v>4.6250000000000009</v>
      </c>
      <c r="F988" s="18">
        <f>86700+3000+1000</f>
        <v>90700</v>
      </c>
      <c r="N988" s="21"/>
      <c r="O988" s="22"/>
    </row>
    <row r="989" spans="1:15" s="10" customFormat="1" x14ac:dyDescent="0.25">
      <c r="A989" s="16">
        <v>219</v>
      </c>
      <c r="B989" s="16">
        <v>50</v>
      </c>
      <c r="C989" s="16" t="s">
        <v>0</v>
      </c>
      <c r="D989" s="16" t="s">
        <v>2</v>
      </c>
      <c r="E989" s="17">
        <f>9.733-0.229-1.632-3.198-3.291</f>
        <v>1.3830000000000013</v>
      </c>
      <c r="F989" s="18">
        <f>88700+3000+1000</f>
        <v>92700</v>
      </c>
      <c r="N989" s="21"/>
      <c r="O989" s="22"/>
    </row>
    <row r="990" spans="1:15" s="10" customFormat="1" x14ac:dyDescent="0.25">
      <c r="A990" s="16">
        <v>219</v>
      </c>
      <c r="B990" s="16">
        <v>50</v>
      </c>
      <c r="C990" s="16" t="s">
        <v>0</v>
      </c>
      <c r="D990" s="16" t="s">
        <v>85</v>
      </c>
      <c r="E990" s="17">
        <v>20.603000000000002</v>
      </c>
      <c r="F990" s="18">
        <f>91700+1000</f>
        <v>92700</v>
      </c>
      <c r="N990" s="21"/>
      <c r="O990" s="22"/>
    </row>
    <row r="991" spans="1:15" s="10" customFormat="1" x14ac:dyDescent="0.25">
      <c r="A991" s="16">
        <v>219</v>
      </c>
      <c r="B991" s="16">
        <v>50</v>
      </c>
      <c r="C991" s="16" t="s">
        <v>5</v>
      </c>
      <c r="D991" s="16" t="s">
        <v>2</v>
      </c>
      <c r="E991" s="17">
        <f>9.714-0.424</f>
        <v>9.2900000000000009</v>
      </c>
      <c r="F991" s="18">
        <f>125700+1000</f>
        <v>126700</v>
      </c>
      <c r="N991" s="21"/>
      <c r="O991" s="22"/>
    </row>
    <row r="992" spans="1:15" s="10" customFormat="1" x14ac:dyDescent="0.25">
      <c r="A992" s="16">
        <v>220</v>
      </c>
      <c r="B992" s="16">
        <v>17</v>
      </c>
      <c r="C992" s="16">
        <v>20</v>
      </c>
      <c r="D992" s="16" t="s">
        <v>2</v>
      </c>
      <c r="E992" s="17">
        <v>0.77900000000000003</v>
      </c>
      <c r="F992" s="18">
        <f>68700+1000</f>
        <v>69700</v>
      </c>
      <c r="N992" s="21"/>
      <c r="O992" s="22"/>
    </row>
    <row r="993" spans="1:15" s="10" customFormat="1" x14ac:dyDescent="0.25">
      <c r="A993" s="16">
        <v>230</v>
      </c>
      <c r="B993" s="16">
        <v>40</v>
      </c>
      <c r="C993" s="16">
        <v>45</v>
      </c>
      <c r="D993" s="16" t="s">
        <v>2</v>
      </c>
      <c r="E993" s="17">
        <v>0.58499999999999996</v>
      </c>
      <c r="F993" s="18">
        <f>94700+1000</f>
        <v>95700</v>
      </c>
      <c r="N993" s="21"/>
      <c r="O993" s="22"/>
    </row>
    <row r="994" spans="1:15" s="10" customFormat="1" x14ac:dyDescent="0.25">
      <c r="A994" s="16">
        <v>245</v>
      </c>
      <c r="B994" s="16">
        <v>8</v>
      </c>
      <c r="C994" s="16" t="s">
        <v>0</v>
      </c>
      <c r="D994" s="16" t="s">
        <v>2</v>
      </c>
      <c r="E994" s="17">
        <f>1.965-0.01-0.2-0.156-0.01-0.097-0.052-0.022</f>
        <v>1.4180000000000001</v>
      </c>
      <c r="F994" s="18">
        <f>75700+3000+1000</f>
        <v>79700</v>
      </c>
      <c r="N994" s="21"/>
      <c r="O994" s="22"/>
    </row>
    <row r="995" spans="1:15" s="10" customFormat="1" x14ac:dyDescent="0.25">
      <c r="A995" s="16">
        <v>245</v>
      </c>
      <c r="B995" s="16">
        <v>8.9</v>
      </c>
      <c r="C995" s="16" t="s">
        <v>109</v>
      </c>
      <c r="D995" s="16" t="s">
        <v>108</v>
      </c>
      <c r="E995" s="17">
        <v>1.32</v>
      </c>
      <c r="F995" s="18">
        <v>94700</v>
      </c>
      <c r="N995" s="21"/>
      <c r="O995" s="22"/>
    </row>
    <row r="996" spans="1:15" s="10" customFormat="1" x14ac:dyDescent="0.25">
      <c r="A996" s="16">
        <v>245</v>
      </c>
      <c r="B996" s="16">
        <v>9</v>
      </c>
      <c r="C996" s="16" t="s">
        <v>0</v>
      </c>
      <c r="D996" s="16" t="s">
        <v>2</v>
      </c>
      <c r="E996" s="17">
        <f>5.971-0.317-0.423</f>
        <v>5.2309999999999999</v>
      </c>
      <c r="F996" s="18">
        <f>75700+3000+1000</f>
        <v>79700</v>
      </c>
      <c r="N996" s="21"/>
      <c r="O996" s="22"/>
    </row>
    <row r="997" spans="1:15" s="10" customFormat="1" x14ac:dyDescent="0.25">
      <c r="A997" s="16">
        <v>245</v>
      </c>
      <c r="B997" s="16">
        <v>10</v>
      </c>
      <c r="C997" s="16">
        <v>20</v>
      </c>
      <c r="D997" s="16" t="s">
        <v>2</v>
      </c>
      <c r="E997" s="17">
        <f>11.435-0.176-0.6-0.06-0.592-0.358-6.053-0.61-0.01-0.017-0.064-0.294-0.029-0.196-1.202-0.585</f>
        <v>0.58899999999999952</v>
      </c>
      <c r="F997" s="18">
        <f>72700+3000+1000</f>
        <v>76700</v>
      </c>
      <c r="N997" s="21"/>
      <c r="O997" s="22"/>
    </row>
    <row r="998" spans="1:15" s="10" customFormat="1" x14ac:dyDescent="0.25">
      <c r="A998" s="16">
        <v>245</v>
      </c>
      <c r="B998" s="16">
        <v>10</v>
      </c>
      <c r="C998" s="16" t="s">
        <v>0</v>
      </c>
      <c r="D998" s="16" t="s">
        <v>2</v>
      </c>
      <c r="E998" s="17">
        <v>1.1180000000000001</v>
      </c>
      <c r="F998" s="18">
        <f>75700+3000+1000</f>
        <v>79700</v>
      </c>
      <c r="N998" s="21"/>
      <c r="O998" s="22"/>
    </row>
    <row r="999" spans="1:15" s="10" customFormat="1" x14ac:dyDescent="0.25">
      <c r="A999" s="16">
        <v>245</v>
      </c>
      <c r="B999" s="16">
        <v>10</v>
      </c>
      <c r="C999" s="16" t="s">
        <v>0</v>
      </c>
      <c r="D999" s="16" t="s">
        <v>2</v>
      </c>
      <c r="E999" s="17">
        <v>0.57999999999999996</v>
      </c>
      <c r="F999" s="18">
        <f>75700+3000+1000</f>
        <v>79700</v>
      </c>
      <c r="N999" s="21"/>
      <c r="O999" s="22"/>
    </row>
    <row r="1000" spans="1:15" s="10" customFormat="1" x14ac:dyDescent="0.25">
      <c r="A1000" s="16">
        <v>245</v>
      </c>
      <c r="B1000" s="16">
        <v>10</v>
      </c>
      <c r="C1000" s="16" t="s">
        <v>0</v>
      </c>
      <c r="D1000" s="16" t="s">
        <v>13</v>
      </c>
      <c r="E1000" s="17">
        <v>10.792999999999999</v>
      </c>
      <c r="F1000" s="18">
        <f>75700+3000+1000</f>
        <v>79700</v>
      </c>
      <c r="N1000" s="21"/>
      <c r="O1000" s="22"/>
    </row>
    <row r="1001" spans="1:15" s="10" customFormat="1" x14ac:dyDescent="0.25">
      <c r="A1001" s="16">
        <v>245</v>
      </c>
      <c r="B1001" s="16">
        <v>12</v>
      </c>
      <c r="C1001" s="16" t="s">
        <v>5</v>
      </c>
      <c r="D1001" s="16" t="s">
        <v>2</v>
      </c>
      <c r="E1001" s="17">
        <v>6.3140000000000001</v>
      </c>
      <c r="F1001" s="18">
        <f>125700+1000</f>
        <v>126700</v>
      </c>
      <c r="N1001" s="21"/>
      <c r="O1001" s="22"/>
    </row>
    <row r="1002" spans="1:15" s="10" customFormat="1" x14ac:dyDescent="0.25">
      <c r="A1002" s="16">
        <v>245</v>
      </c>
      <c r="B1002" s="16">
        <v>14</v>
      </c>
      <c r="C1002" s="16" t="s">
        <v>5</v>
      </c>
      <c r="D1002" s="16" t="s">
        <v>2</v>
      </c>
      <c r="E1002" s="17">
        <f>6.134-0.707</f>
        <v>5.4270000000000005</v>
      </c>
      <c r="F1002" s="18">
        <f>125700+1000</f>
        <v>126700</v>
      </c>
      <c r="N1002" s="21"/>
      <c r="O1002" s="22"/>
    </row>
    <row r="1003" spans="1:15" s="10" customFormat="1" x14ac:dyDescent="0.25">
      <c r="A1003" s="16">
        <v>245</v>
      </c>
      <c r="B1003" s="16">
        <v>16</v>
      </c>
      <c r="C1003" s="16">
        <v>45</v>
      </c>
      <c r="D1003" s="16" t="s">
        <v>2</v>
      </c>
      <c r="E1003" s="17">
        <v>5</v>
      </c>
      <c r="F1003" s="18">
        <f>76700+3000+1000</f>
        <v>80700</v>
      </c>
      <c r="N1003" s="21"/>
      <c r="O1003" s="22"/>
    </row>
    <row r="1004" spans="1:15" s="10" customFormat="1" x14ac:dyDescent="0.25">
      <c r="A1004" s="16">
        <v>245</v>
      </c>
      <c r="B1004" s="16">
        <v>16</v>
      </c>
      <c r="C1004" s="16" t="s">
        <v>0</v>
      </c>
      <c r="D1004" s="16" t="s">
        <v>2</v>
      </c>
      <c r="E1004" s="17">
        <f>57.558-0.139-0.969</f>
        <v>56.449999999999996</v>
      </c>
      <c r="F1004" s="18">
        <f>71700+1000+7000</f>
        <v>79700</v>
      </c>
      <c r="N1004" s="21"/>
      <c r="O1004" s="22"/>
    </row>
    <row r="1005" spans="1:15" s="10" customFormat="1" x14ac:dyDescent="0.25">
      <c r="A1005" s="16">
        <v>245</v>
      </c>
      <c r="B1005" s="16">
        <v>18</v>
      </c>
      <c r="C1005" s="16">
        <v>20</v>
      </c>
      <c r="D1005" s="16" t="s">
        <v>2</v>
      </c>
      <c r="E1005" s="17">
        <v>1.008</v>
      </c>
      <c r="F1005" s="18">
        <f>39000+1000</f>
        <v>40000</v>
      </c>
      <c r="N1005" s="21"/>
      <c r="O1005" s="22"/>
    </row>
    <row r="1006" spans="1:15" s="10" customFormat="1" x14ac:dyDescent="0.25">
      <c r="A1006" s="16">
        <v>245</v>
      </c>
      <c r="B1006" s="16">
        <v>20</v>
      </c>
      <c r="C1006" s="16">
        <v>20</v>
      </c>
      <c r="D1006" s="16" t="s">
        <v>2</v>
      </c>
      <c r="E1006" s="17">
        <f>0.82-0.062+0.108-0.336-0.064-0.139-0.059</f>
        <v>0.26800000000000002</v>
      </c>
      <c r="F1006" s="18">
        <f>72700+3000+1000</f>
        <v>76700</v>
      </c>
      <c r="N1006" s="21"/>
      <c r="O1006" s="22"/>
    </row>
    <row r="1007" spans="1:15" s="10" customFormat="1" x14ac:dyDescent="0.25">
      <c r="A1007" s="16">
        <v>245</v>
      </c>
      <c r="B1007" s="16">
        <v>20</v>
      </c>
      <c r="C1007" s="16">
        <v>20</v>
      </c>
      <c r="D1007" s="16" t="s">
        <v>2</v>
      </c>
      <c r="E1007" s="17">
        <f>0.489-0.033</f>
        <v>0.45599999999999996</v>
      </c>
      <c r="F1007" s="18">
        <f>72700+3000+1000</f>
        <v>76700</v>
      </c>
      <c r="N1007" s="21"/>
      <c r="O1007" s="22"/>
    </row>
    <row r="1008" spans="1:15" s="10" customFormat="1" x14ac:dyDescent="0.25">
      <c r="A1008" s="16">
        <v>245</v>
      </c>
      <c r="B1008" s="16">
        <v>20</v>
      </c>
      <c r="C1008" s="16">
        <v>20</v>
      </c>
      <c r="D1008" s="16" t="s">
        <v>2</v>
      </c>
      <c r="E1008" s="17">
        <f>4.831-1.19</f>
        <v>3.6410000000000005</v>
      </c>
      <c r="F1008" s="18">
        <f>72700+3000+1000</f>
        <v>76700</v>
      </c>
      <c r="N1008" s="21"/>
      <c r="O1008" s="22"/>
    </row>
    <row r="1009" spans="1:15" s="10" customFormat="1" x14ac:dyDescent="0.25">
      <c r="A1009" s="16">
        <v>245</v>
      </c>
      <c r="B1009" s="16">
        <v>20</v>
      </c>
      <c r="C1009" s="16">
        <v>20</v>
      </c>
      <c r="D1009" s="16" t="s">
        <v>2</v>
      </c>
      <c r="E1009" s="17">
        <f>4.836-1.154-1.264+0.001</f>
        <v>2.419</v>
      </c>
      <c r="F1009" s="18">
        <f>72700+3000+1000</f>
        <v>76700</v>
      </c>
      <c r="N1009" s="21"/>
      <c r="O1009" s="22"/>
    </row>
    <row r="1010" spans="1:15" s="10" customFormat="1" x14ac:dyDescent="0.25">
      <c r="A1010" s="16">
        <v>245</v>
      </c>
      <c r="B1010" s="16">
        <v>20</v>
      </c>
      <c r="C1010" s="16">
        <v>20</v>
      </c>
      <c r="D1010" s="16" t="s">
        <v>85</v>
      </c>
      <c r="E1010" s="17">
        <f>4.85-1.201-0.512</f>
        <v>3.1369999999999996</v>
      </c>
      <c r="F1010" s="18">
        <f>75700+1000</f>
        <v>76700</v>
      </c>
      <c r="N1010" s="21"/>
      <c r="O1010" s="22"/>
    </row>
    <row r="1011" spans="1:15" s="10" customFormat="1" x14ac:dyDescent="0.25">
      <c r="A1011" s="16">
        <v>245</v>
      </c>
      <c r="B1011" s="16">
        <v>20</v>
      </c>
      <c r="C1011" s="16" t="s">
        <v>0</v>
      </c>
      <c r="D1011" s="16" t="s">
        <v>2</v>
      </c>
      <c r="E1011" s="17">
        <v>3.4220000000000002</v>
      </c>
      <c r="F1011" s="18">
        <v>79700</v>
      </c>
      <c r="N1011" s="21"/>
      <c r="O1011" s="22"/>
    </row>
    <row r="1012" spans="1:15" s="10" customFormat="1" x14ac:dyDescent="0.25">
      <c r="A1012" s="16">
        <v>245</v>
      </c>
      <c r="B1012" s="16">
        <v>20</v>
      </c>
      <c r="C1012" s="16" t="s">
        <v>0</v>
      </c>
      <c r="D1012" s="16" t="s">
        <v>2</v>
      </c>
      <c r="E1012" s="17">
        <f>5.076-0.821-0.075-0.416-1.718-0.093-1.702</f>
        <v>0.25099999999999989</v>
      </c>
      <c r="F1012" s="18">
        <f>75700+3000+1000</f>
        <v>79700</v>
      </c>
      <c r="N1012" s="21"/>
      <c r="O1012" s="22"/>
    </row>
    <row r="1013" spans="1:15" s="10" customFormat="1" x14ac:dyDescent="0.25">
      <c r="A1013" s="16">
        <v>245</v>
      </c>
      <c r="B1013" s="16">
        <v>22</v>
      </c>
      <c r="C1013" s="16">
        <v>20</v>
      </c>
      <c r="D1013" s="16" t="s">
        <v>85</v>
      </c>
      <c r="E1013" s="17">
        <v>9.9809999999999999</v>
      </c>
      <c r="F1013" s="18">
        <f>75700+1000</f>
        <v>76700</v>
      </c>
      <c r="N1013" s="21"/>
      <c r="O1013" s="22"/>
    </row>
    <row r="1014" spans="1:15" s="10" customFormat="1" x14ac:dyDescent="0.25">
      <c r="A1014" s="16">
        <v>245</v>
      </c>
      <c r="B1014" s="16">
        <v>22</v>
      </c>
      <c r="C1014" s="16" t="s">
        <v>30</v>
      </c>
      <c r="D1014" s="16" t="s">
        <v>2</v>
      </c>
      <c r="E1014" s="17">
        <v>0.80100000000000005</v>
      </c>
      <c r="F1014" s="18">
        <v>90700</v>
      </c>
      <c r="N1014" s="21"/>
      <c r="O1014" s="22"/>
    </row>
    <row r="1015" spans="1:15" s="10" customFormat="1" x14ac:dyDescent="0.25">
      <c r="A1015" s="16">
        <v>245</v>
      </c>
      <c r="B1015" s="16">
        <v>25</v>
      </c>
      <c r="C1015" s="16" t="s">
        <v>0</v>
      </c>
      <c r="D1015" s="16" t="s">
        <v>85</v>
      </c>
      <c r="E1015" s="17">
        <f>9.977-0.149</f>
        <v>9.8280000000000012</v>
      </c>
      <c r="F1015" s="18">
        <f>75700+3000+1000</f>
        <v>79700</v>
      </c>
      <c r="N1015" s="21"/>
      <c r="O1015" s="22"/>
    </row>
    <row r="1016" spans="1:15" s="10" customFormat="1" x14ac:dyDescent="0.25">
      <c r="A1016" s="16">
        <v>245</v>
      </c>
      <c r="B1016" s="16">
        <v>25</v>
      </c>
      <c r="C1016" s="16" t="s">
        <v>5</v>
      </c>
      <c r="D1016" s="16" t="s">
        <v>2</v>
      </c>
      <c r="E1016" s="17">
        <f>1.434-0.072-0.28</f>
        <v>1.0819999999999999</v>
      </c>
      <c r="F1016" s="18">
        <f>125700+1000</f>
        <v>126700</v>
      </c>
      <c r="N1016" s="21"/>
      <c r="O1016" s="22"/>
    </row>
    <row r="1017" spans="1:15" s="10" customFormat="1" ht="16.5" customHeight="1" x14ac:dyDescent="0.25">
      <c r="A1017" s="16">
        <v>245</v>
      </c>
      <c r="B1017" s="16">
        <v>28</v>
      </c>
      <c r="C1017" s="16">
        <v>20</v>
      </c>
      <c r="D1017" s="16" t="s">
        <v>85</v>
      </c>
      <c r="E1017" s="17">
        <f>9.748-1.625-0.852</f>
        <v>7.270999999999999</v>
      </c>
      <c r="F1017" s="18">
        <f>75700+1000</f>
        <v>76700</v>
      </c>
      <c r="N1017" s="21"/>
      <c r="O1017" s="22"/>
    </row>
    <row r="1018" spans="1:15" s="10" customFormat="1" x14ac:dyDescent="0.25">
      <c r="A1018" s="16">
        <v>245</v>
      </c>
      <c r="B1018" s="16">
        <v>28</v>
      </c>
      <c r="C1018" s="16">
        <v>45</v>
      </c>
      <c r="D1018" s="16" t="s">
        <v>85</v>
      </c>
      <c r="E1018" s="17">
        <f>5.358-1.71-1.759</f>
        <v>1.8889999999999998</v>
      </c>
      <c r="F1018" s="18">
        <f>79700+1000</f>
        <v>80700</v>
      </c>
      <c r="N1018" s="21"/>
      <c r="O1018" s="22"/>
    </row>
    <row r="1019" spans="1:15" s="10" customFormat="1" x14ac:dyDescent="0.25">
      <c r="A1019" s="16">
        <v>245</v>
      </c>
      <c r="B1019" s="16">
        <v>28</v>
      </c>
      <c r="C1019" s="16">
        <v>45</v>
      </c>
      <c r="D1019" s="16" t="s">
        <v>85</v>
      </c>
      <c r="E1019" s="17">
        <f>3.686-1.846-0.94</f>
        <v>0.89999999999999991</v>
      </c>
      <c r="F1019" s="18">
        <f>79700+1000</f>
        <v>80700</v>
      </c>
      <c r="N1019" s="21"/>
      <c r="O1019" s="22"/>
    </row>
    <row r="1020" spans="1:15" s="10" customFormat="1" x14ac:dyDescent="0.25">
      <c r="A1020" s="16">
        <v>245</v>
      </c>
      <c r="B1020" s="16">
        <v>28</v>
      </c>
      <c r="C1020" s="16">
        <v>45</v>
      </c>
      <c r="D1020" s="16" t="s">
        <v>85</v>
      </c>
      <c r="E1020" s="17">
        <v>1</v>
      </c>
      <c r="F1020" s="18">
        <f>76700+3000+1000</f>
        <v>80700</v>
      </c>
      <c r="N1020" s="21"/>
      <c r="O1020" s="22"/>
    </row>
    <row r="1021" spans="1:15" s="10" customFormat="1" x14ac:dyDescent="0.25">
      <c r="A1021" s="16">
        <v>245</v>
      </c>
      <c r="B1021" s="16">
        <v>28</v>
      </c>
      <c r="C1021" s="16" t="s">
        <v>30</v>
      </c>
      <c r="D1021" s="16" t="s">
        <v>2</v>
      </c>
      <c r="E1021" s="17">
        <v>5</v>
      </c>
      <c r="F1021" s="18">
        <v>90700</v>
      </c>
      <c r="N1021" s="21"/>
      <c r="O1021" s="22"/>
    </row>
    <row r="1022" spans="1:15" s="10" customFormat="1" x14ac:dyDescent="0.25">
      <c r="A1022" s="16">
        <v>245</v>
      </c>
      <c r="B1022" s="16">
        <v>28</v>
      </c>
      <c r="C1022" s="16" t="s">
        <v>0</v>
      </c>
      <c r="D1022" s="16" t="s">
        <v>85</v>
      </c>
      <c r="E1022" s="17">
        <v>10.903</v>
      </c>
      <c r="F1022" s="18">
        <f>75700+3000+1000</f>
        <v>79700</v>
      </c>
      <c r="N1022" s="21"/>
      <c r="O1022" s="22"/>
    </row>
    <row r="1023" spans="1:15" s="10" customFormat="1" x14ac:dyDescent="0.25">
      <c r="A1023" s="16">
        <v>245</v>
      </c>
      <c r="B1023" s="16">
        <v>28</v>
      </c>
      <c r="C1023" s="16" t="s">
        <v>100</v>
      </c>
      <c r="D1023" s="16" t="s">
        <v>2</v>
      </c>
      <c r="E1023" s="17">
        <v>1.542</v>
      </c>
      <c r="F1023" s="18">
        <v>79700</v>
      </c>
      <c r="N1023" s="21"/>
      <c r="O1023" s="22"/>
    </row>
    <row r="1024" spans="1:15" s="10" customFormat="1" x14ac:dyDescent="0.25">
      <c r="A1024" s="16">
        <v>245</v>
      </c>
      <c r="B1024" s="16">
        <v>28</v>
      </c>
      <c r="C1024" s="16" t="s">
        <v>5</v>
      </c>
      <c r="D1024" s="16" t="s">
        <v>2</v>
      </c>
      <c r="E1024" s="17">
        <f>9.066-4.024-0.995</f>
        <v>4.0470000000000006</v>
      </c>
      <c r="F1024" s="18">
        <f>125700+1000</f>
        <v>126700</v>
      </c>
      <c r="N1024" s="21"/>
      <c r="O1024" s="22"/>
    </row>
    <row r="1025" spans="1:15" s="10" customFormat="1" x14ac:dyDescent="0.25">
      <c r="A1025" s="16">
        <v>245</v>
      </c>
      <c r="B1025" s="16">
        <v>28</v>
      </c>
      <c r="C1025" s="16" t="s">
        <v>3</v>
      </c>
      <c r="D1025" s="16" t="s">
        <v>4</v>
      </c>
      <c r="E1025" s="17">
        <f>1.735-0.852</f>
        <v>0.88300000000000012</v>
      </c>
      <c r="F1025" s="18">
        <v>169700</v>
      </c>
      <c r="N1025" s="21"/>
      <c r="O1025" s="22"/>
    </row>
    <row r="1026" spans="1:15" s="10" customFormat="1" x14ac:dyDescent="0.25">
      <c r="A1026" s="16">
        <v>245</v>
      </c>
      <c r="B1026" s="16">
        <v>30</v>
      </c>
      <c r="C1026" s="16">
        <v>20</v>
      </c>
      <c r="D1026" s="16" t="s">
        <v>2</v>
      </c>
      <c r="E1026" s="17">
        <f>1.498-0.638-0.564</f>
        <v>0.29600000000000004</v>
      </c>
      <c r="F1026" s="18">
        <f>75700+1000</f>
        <v>76700</v>
      </c>
      <c r="N1026" s="21"/>
      <c r="O1026" s="22"/>
    </row>
    <row r="1027" spans="1:15" s="10" customFormat="1" x14ac:dyDescent="0.25">
      <c r="A1027" s="16">
        <v>245</v>
      </c>
      <c r="B1027" s="16">
        <v>30</v>
      </c>
      <c r="C1027" s="16">
        <v>20</v>
      </c>
      <c r="D1027" s="16" t="s">
        <v>2</v>
      </c>
      <c r="E1027" s="17">
        <f>1.493-0.354</f>
        <v>1.1390000000000002</v>
      </c>
      <c r="F1027" s="18">
        <f>75700+1000</f>
        <v>76700</v>
      </c>
      <c r="N1027" s="21"/>
      <c r="O1027" s="22"/>
    </row>
    <row r="1028" spans="1:15" s="10" customFormat="1" x14ac:dyDescent="0.25">
      <c r="A1028" s="16">
        <v>245</v>
      </c>
      <c r="B1028" s="16">
        <v>30</v>
      </c>
      <c r="C1028" s="16">
        <v>20</v>
      </c>
      <c r="D1028" s="16" t="s">
        <v>2</v>
      </c>
      <c r="E1028" s="17">
        <v>0.8</v>
      </c>
      <c r="F1028" s="18">
        <f>75700+1000</f>
        <v>76700</v>
      </c>
      <c r="N1028" s="21"/>
      <c r="O1028" s="22"/>
    </row>
    <row r="1029" spans="1:15" s="10" customFormat="1" x14ac:dyDescent="0.25">
      <c r="A1029" s="16">
        <v>245</v>
      </c>
      <c r="B1029" s="16">
        <v>32</v>
      </c>
      <c r="C1029" s="16">
        <v>35</v>
      </c>
      <c r="D1029" s="16" t="s">
        <v>85</v>
      </c>
      <c r="E1029" s="17">
        <f>6.922-1.279-1.826-0.047-0.379-1.438-0.127-0.603-0.431+0.004</f>
        <v>0.7959999999999996</v>
      </c>
      <c r="F1029" s="18">
        <f>91700+3000+1000</f>
        <v>95700</v>
      </c>
      <c r="N1029" s="21"/>
      <c r="O1029" s="22"/>
    </row>
    <row r="1030" spans="1:15" s="10" customFormat="1" x14ac:dyDescent="0.25">
      <c r="A1030" s="16">
        <v>245</v>
      </c>
      <c r="B1030" s="16">
        <v>32</v>
      </c>
      <c r="C1030" s="16">
        <v>35</v>
      </c>
      <c r="D1030" s="16" t="s">
        <v>85</v>
      </c>
      <c r="E1030" s="17">
        <v>5.87</v>
      </c>
      <c r="F1030" s="18">
        <f>94700+1000</f>
        <v>95700</v>
      </c>
      <c r="N1030" s="21"/>
      <c r="O1030" s="22"/>
    </row>
    <row r="1031" spans="1:15" s="10" customFormat="1" x14ac:dyDescent="0.25">
      <c r="A1031" s="16">
        <v>245</v>
      </c>
      <c r="B1031" s="16">
        <v>32</v>
      </c>
      <c r="C1031" s="16">
        <v>35</v>
      </c>
      <c r="D1031" s="16" t="s">
        <v>2</v>
      </c>
      <c r="E1031" s="17">
        <v>5</v>
      </c>
      <c r="F1031" s="18">
        <f>94700+1000</f>
        <v>95700</v>
      </c>
      <c r="N1031" s="21"/>
      <c r="O1031" s="22"/>
    </row>
    <row r="1032" spans="1:15" s="10" customFormat="1" x14ac:dyDescent="0.25">
      <c r="A1032" s="16">
        <v>245</v>
      </c>
      <c r="B1032" s="16">
        <v>32</v>
      </c>
      <c r="C1032" s="16" t="s">
        <v>0</v>
      </c>
      <c r="D1032" s="16" t="s">
        <v>85</v>
      </c>
      <c r="E1032" s="17">
        <v>2.9340000000000002</v>
      </c>
      <c r="F1032" s="18">
        <f>93700+3000+1000</f>
        <v>97700</v>
      </c>
      <c r="N1032" s="21"/>
      <c r="O1032" s="22"/>
    </row>
    <row r="1033" spans="1:15" s="10" customFormat="1" x14ac:dyDescent="0.25">
      <c r="A1033" s="16">
        <v>245</v>
      </c>
      <c r="B1033" s="16">
        <v>32</v>
      </c>
      <c r="C1033" s="16" t="s">
        <v>0</v>
      </c>
      <c r="D1033" s="16" t="s">
        <v>85</v>
      </c>
      <c r="E1033" s="17">
        <f>5.718-0.51-1.433-0.776-0.134</f>
        <v>2.8650000000000007</v>
      </c>
      <c r="F1033" s="18">
        <f>93700+3000+1000</f>
        <v>97700</v>
      </c>
      <c r="N1033" s="21"/>
      <c r="O1033" s="22"/>
    </row>
    <row r="1034" spans="1:15" s="10" customFormat="1" x14ac:dyDescent="0.25">
      <c r="A1034" s="16">
        <v>245</v>
      </c>
      <c r="B1034" s="16">
        <v>32</v>
      </c>
      <c r="C1034" s="16" t="s">
        <v>5</v>
      </c>
      <c r="D1034" s="16" t="s">
        <v>2</v>
      </c>
      <c r="E1034" s="17">
        <v>5.3330000000000002</v>
      </c>
      <c r="F1034" s="18">
        <f>125700+1000</f>
        <v>126700</v>
      </c>
      <c r="N1034" s="21"/>
      <c r="O1034" s="22"/>
    </row>
    <row r="1035" spans="1:15" s="10" customFormat="1" x14ac:dyDescent="0.25">
      <c r="A1035" s="16">
        <v>245</v>
      </c>
      <c r="B1035" s="16">
        <v>32</v>
      </c>
      <c r="C1035" s="16" t="s">
        <v>5</v>
      </c>
      <c r="D1035" s="16" t="s">
        <v>85</v>
      </c>
      <c r="E1035" s="17">
        <f>10.202-2.039-0.174-1.037-1.666-0.135-0.121-0.533</f>
        <v>4.496999999999999</v>
      </c>
      <c r="F1035" s="18">
        <f>125700+1000</f>
        <v>126700</v>
      </c>
      <c r="N1035" s="21"/>
      <c r="O1035" s="22"/>
    </row>
    <row r="1036" spans="1:15" s="10" customFormat="1" x14ac:dyDescent="0.25">
      <c r="A1036" s="16">
        <v>245</v>
      </c>
      <c r="B1036" s="16">
        <v>32</v>
      </c>
      <c r="C1036" s="16" t="s">
        <v>5</v>
      </c>
      <c r="D1036" s="16" t="s">
        <v>85</v>
      </c>
      <c r="E1036" s="17">
        <f>9.74-1.661-0.181-1.639-1.561-1.432-1.616</f>
        <v>1.6500000000000004</v>
      </c>
      <c r="F1036" s="18">
        <f>125700+1000</f>
        <v>126700</v>
      </c>
      <c r="N1036" s="21"/>
      <c r="O1036" s="22"/>
    </row>
    <row r="1037" spans="1:15" s="10" customFormat="1" x14ac:dyDescent="0.25">
      <c r="A1037" s="16">
        <v>245</v>
      </c>
      <c r="B1037" s="16">
        <v>32</v>
      </c>
      <c r="C1037" s="16" t="s">
        <v>5</v>
      </c>
      <c r="D1037" s="16" t="s">
        <v>85</v>
      </c>
      <c r="E1037" s="17">
        <v>1.63</v>
      </c>
      <c r="F1037" s="18">
        <f>125700+1000</f>
        <v>126700</v>
      </c>
      <c r="N1037" s="21"/>
      <c r="O1037" s="22"/>
    </row>
    <row r="1038" spans="1:15" s="10" customFormat="1" x14ac:dyDescent="0.25">
      <c r="A1038" s="16">
        <v>245</v>
      </c>
      <c r="B1038" s="16">
        <v>36</v>
      </c>
      <c r="C1038" s="16">
        <v>20</v>
      </c>
      <c r="D1038" s="16" t="s">
        <v>85</v>
      </c>
      <c r="E1038" s="17">
        <f>8.408-3.32-0.065-0.064-1.515-0.206-0.102-1.767</f>
        <v>1.3689999999999993</v>
      </c>
      <c r="F1038" s="18">
        <f>92700+1000</f>
        <v>93700</v>
      </c>
      <c r="N1038" s="21"/>
      <c r="O1038" s="22"/>
    </row>
    <row r="1039" spans="1:15" s="10" customFormat="1" x14ac:dyDescent="0.25">
      <c r="A1039" s="16">
        <v>245</v>
      </c>
      <c r="B1039" s="16">
        <v>36</v>
      </c>
      <c r="C1039" s="16">
        <v>45</v>
      </c>
      <c r="D1039" s="16" t="s">
        <v>85</v>
      </c>
      <c r="E1039" s="17">
        <f>2.81-1.394-0.661-0.212-0.131</f>
        <v>0.41200000000000014</v>
      </c>
      <c r="F1039" s="18">
        <f>91700+3000+1000</f>
        <v>95700</v>
      </c>
      <c r="N1039" s="21"/>
      <c r="O1039" s="22"/>
    </row>
    <row r="1040" spans="1:15" s="10" customFormat="1" x14ac:dyDescent="0.25">
      <c r="A1040" s="16">
        <v>245</v>
      </c>
      <c r="B1040" s="16">
        <v>36</v>
      </c>
      <c r="C1040" s="16">
        <v>45</v>
      </c>
      <c r="D1040" s="16" t="s">
        <v>85</v>
      </c>
      <c r="E1040" s="17">
        <v>10</v>
      </c>
      <c r="F1040" s="18">
        <v>95700</v>
      </c>
      <c r="N1040" s="21"/>
      <c r="O1040" s="22"/>
    </row>
    <row r="1041" spans="1:15" s="10" customFormat="1" x14ac:dyDescent="0.25">
      <c r="A1041" s="16">
        <v>245</v>
      </c>
      <c r="B1041" s="16">
        <v>36</v>
      </c>
      <c r="C1041" s="16" t="s">
        <v>0</v>
      </c>
      <c r="D1041" s="16" t="s">
        <v>85</v>
      </c>
      <c r="E1041" s="17">
        <f>9.07-0.377-0.748</f>
        <v>7.9449999999999994</v>
      </c>
      <c r="F1041" s="18">
        <f>93700+3000+1000</f>
        <v>97700</v>
      </c>
      <c r="N1041" s="21"/>
      <c r="O1041" s="22"/>
    </row>
    <row r="1042" spans="1:15" s="10" customFormat="1" x14ac:dyDescent="0.25">
      <c r="A1042" s="16">
        <v>245</v>
      </c>
      <c r="B1042" s="16">
        <v>36</v>
      </c>
      <c r="C1042" s="16" t="s">
        <v>5</v>
      </c>
      <c r="D1042" s="16" t="s">
        <v>2</v>
      </c>
      <c r="E1042" s="17">
        <f>5.722-0.155-0.678+0.008-0.964-0.941</f>
        <v>2.9920000000000004</v>
      </c>
      <c r="F1042" s="18">
        <f>125700+1000+1000</f>
        <v>127700</v>
      </c>
      <c r="N1042" s="21"/>
      <c r="O1042" s="22"/>
    </row>
    <row r="1043" spans="1:15" s="10" customFormat="1" x14ac:dyDescent="0.25">
      <c r="A1043" s="16">
        <v>245</v>
      </c>
      <c r="B1043" s="16">
        <v>40</v>
      </c>
      <c r="C1043" s="16">
        <v>20</v>
      </c>
      <c r="D1043" s="16" t="s">
        <v>85</v>
      </c>
      <c r="E1043" s="17">
        <f>3.662-0.171-0.111</f>
        <v>3.38</v>
      </c>
      <c r="F1043" s="18">
        <f>89700+3000+1000</f>
        <v>93700</v>
      </c>
      <c r="N1043" s="21"/>
      <c r="O1043" s="22"/>
    </row>
    <row r="1044" spans="1:15" s="10" customFormat="1" x14ac:dyDescent="0.25">
      <c r="A1044" s="16">
        <v>245</v>
      </c>
      <c r="B1044" s="16">
        <v>40</v>
      </c>
      <c r="C1044" s="16">
        <v>35</v>
      </c>
      <c r="D1044" s="16" t="s">
        <v>85</v>
      </c>
      <c r="E1044" s="17">
        <f>5.996-0.066-2.228-0.074</f>
        <v>3.6280000000000006</v>
      </c>
      <c r="F1044" s="18">
        <f>91700+3000+1000</f>
        <v>95700</v>
      </c>
      <c r="N1044" s="21"/>
      <c r="O1044" s="22"/>
    </row>
    <row r="1045" spans="1:15" s="10" customFormat="1" x14ac:dyDescent="0.25">
      <c r="A1045" s="16">
        <v>245</v>
      </c>
      <c r="B1045" s="16">
        <v>40</v>
      </c>
      <c r="C1045" s="16" t="s">
        <v>0</v>
      </c>
      <c r="D1045" s="16" t="s">
        <v>2</v>
      </c>
      <c r="E1045" s="17">
        <f>6.222-0.417-0.305</f>
        <v>5.5000000000000009</v>
      </c>
      <c r="F1045" s="18">
        <f>93700+3000+1000</f>
        <v>97700</v>
      </c>
      <c r="N1045" s="21"/>
      <c r="O1045" s="22"/>
    </row>
    <row r="1046" spans="1:15" s="10" customFormat="1" x14ac:dyDescent="0.25">
      <c r="A1046" s="16">
        <v>245</v>
      </c>
      <c r="B1046" s="16">
        <v>40</v>
      </c>
      <c r="C1046" s="16" t="s">
        <v>5</v>
      </c>
      <c r="D1046" s="16" t="s">
        <v>2</v>
      </c>
      <c r="E1046" s="17">
        <f>4.518-1.335-0.473+0.044-0.524+0.05+0.468-1.141-0.615</f>
        <v>0.99199999999999977</v>
      </c>
      <c r="F1046" s="18">
        <f>125700+1000</f>
        <v>126700</v>
      </c>
      <c r="N1046" s="21"/>
      <c r="O1046" s="22"/>
    </row>
    <row r="1047" spans="1:15" s="10" customFormat="1" x14ac:dyDescent="0.25">
      <c r="A1047" s="16">
        <v>245</v>
      </c>
      <c r="B1047" s="16">
        <v>40</v>
      </c>
      <c r="C1047" s="16" t="s">
        <v>5</v>
      </c>
      <c r="D1047" s="16" t="s">
        <v>85</v>
      </c>
      <c r="E1047" s="17">
        <v>9.68</v>
      </c>
      <c r="F1047" s="18">
        <f>125700+1000</f>
        <v>126700</v>
      </c>
      <c r="N1047" s="21"/>
      <c r="O1047" s="22"/>
    </row>
    <row r="1048" spans="1:15" s="10" customFormat="1" x14ac:dyDescent="0.25">
      <c r="A1048" s="16">
        <v>245</v>
      </c>
      <c r="B1048" s="16">
        <v>40</v>
      </c>
      <c r="C1048" s="16" t="s">
        <v>5</v>
      </c>
      <c r="D1048" s="16" t="s">
        <v>85</v>
      </c>
      <c r="E1048" s="17">
        <v>1.635</v>
      </c>
      <c r="F1048" s="18">
        <f>125700+1000</f>
        <v>126700</v>
      </c>
      <c r="N1048" s="21"/>
      <c r="O1048" s="22"/>
    </row>
    <row r="1049" spans="1:15" s="10" customFormat="1" x14ac:dyDescent="0.25">
      <c r="A1049" s="16">
        <v>245</v>
      </c>
      <c r="B1049" s="16">
        <v>45</v>
      </c>
      <c r="C1049" s="16">
        <v>35</v>
      </c>
      <c r="D1049" s="16" t="s">
        <v>85</v>
      </c>
      <c r="E1049" s="17">
        <f>33.161-0.19-2.167-0.38</f>
        <v>30.424000000000003</v>
      </c>
      <c r="F1049" s="18">
        <f>91700+3000+1000</f>
        <v>95700</v>
      </c>
      <c r="N1049" s="21"/>
      <c r="O1049" s="22"/>
    </row>
    <row r="1050" spans="1:15" s="10" customFormat="1" x14ac:dyDescent="0.25">
      <c r="A1050" s="16">
        <v>245</v>
      </c>
      <c r="B1050" s="16">
        <v>45</v>
      </c>
      <c r="C1050" s="16">
        <v>45</v>
      </c>
      <c r="D1050" s="16" t="s">
        <v>85</v>
      </c>
      <c r="E1050" s="17">
        <f>9.99-1.603-1.61-0.277-0.185</f>
        <v>6.3150000000000004</v>
      </c>
      <c r="F1050" s="18">
        <f>91700+3000+1000</f>
        <v>95700</v>
      </c>
      <c r="N1050" s="21"/>
      <c r="O1050" s="22"/>
    </row>
    <row r="1051" spans="1:15" s="10" customFormat="1" x14ac:dyDescent="0.25">
      <c r="A1051" s="16">
        <v>245</v>
      </c>
      <c r="B1051" s="16">
        <v>45</v>
      </c>
      <c r="C1051" s="16" t="s">
        <v>5</v>
      </c>
      <c r="D1051" s="16" t="s">
        <v>85</v>
      </c>
      <c r="E1051" s="17">
        <v>10</v>
      </c>
      <c r="F1051" s="18">
        <v>126700</v>
      </c>
      <c r="N1051" s="21"/>
      <c r="O1051" s="22"/>
    </row>
    <row r="1052" spans="1:15" s="10" customFormat="1" x14ac:dyDescent="0.25">
      <c r="A1052" s="16">
        <v>245</v>
      </c>
      <c r="B1052" s="16">
        <v>50</v>
      </c>
      <c r="C1052" s="16">
        <v>20</v>
      </c>
      <c r="D1052" s="16" t="s">
        <v>85</v>
      </c>
      <c r="E1052" s="17">
        <f>7.499-0.395-0.145-0.25-1.561-0.634</f>
        <v>4.5139999999999993</v>
      </c>
      <c r="F1052" s="18">
        <f>92700+1000</f>
        <v>93700</v>
      </c>
      <c r="N1052" s="21"/>
      <c r="O1052" s="22"/>
    </row>
    <row r="1053" spans="1:15" s="10" customFormat="1" x14ac:dyDescent="0.25">
      <c r="A1053" s="16">
        <v>245</v>
      </c>
      <c r="B1053" s="16">
        <v>50</v>
      </c>
      <c r="C1053" s="16">
        <v>20</v>
      </c>
      <c r="D1053" s="16" t="s">
        <v>85</v>
      </c>
      <c r="E1053" s="17">
        <v>3</v>
      </c>
      <c r="F1053" s="18">
        <f>92700+1000</f>
        <v>93700</v>
      </c>
      <c r="N1053" s="21"/>
      <c r="O1053" s="22"/>
    </row>
    <row r="1054" spans="1:15" s="10" customFormat="1" x14ac:dyDescent="0.25">
      <c r="A1054" s="16">
        <v>245</v>
      </c>
      <c r="B1054" s="16">
        <v>50</v>
      </c>
      <c r="C1054" s="16">
        <v>35</v>
      </c>
      <c r="D1054" s="16" t="s">
        <v>85</v>
      </c>
      <c r="E1054" s="17">
        <f>6.735-1.292</f>
        <v>5.4430000000000005</v>
      </c>
      <c r="F1054" s="18">
        <f>91700+3000+1000</f>
        <v>95700</v>
      </c>
      <c r="N1054" s="21"/>
      <c r="O1054" s="22"/>
    </row>
    <row r="1055" spans="1:15" s="10" customFormat="1" x14ac:dyDescent="0.25">
      <c r="A1055" s="16">
        <v>245</v>
      </c>
      <c r="B1055" s="16">
        <v>50</v>
      </c>
      <c r="C1055" s="16">
        <v>35</v>
      </c>
      <c r="D1055" s="16" t="s">
        <v>85</v>
      </c>
      <c r="E1055" s="17">
        <v>6.36</v>
      </c>
      <c r="F1055" s="18">
        <f>91700+3000+1000</f>
        <v>95700</v>
      </c>
      <c r="N1055" s="21"/>
      <c r="O1055" s="22"/>
    </row>
    <row r="1056" spans="1:15" s="10" customFormat="1" x14ac:dyDescent="0.25">
      <c r="A1056" s="16">
        <v>245</v>
      </c>
      <c r="B1056" s="16">
        <v>50</v>
      </c>
      <c r="C1056" s="16">
        <v>35</v>
      </c>
      <c r="D1056" s="16" t="s">
        <v>2</v>
      </c>
      <c r="E1056" s="17">
        <f>2.058-1.205-0.64+0.003</f>
        <v>0.21599999999999975</v>
      </c>
      <c r="F1056" s="18">
        <f>91700+3000+1000</f>
        <v>95700</v>
      </c>
      <c r="N1056" s="21"/>
      <c r="O1056" s="22"/>
    </row>
    <row r="1057" spans="1:15" s="10" customFormat="1" x14ac:dyDescent="0.25">
      <c r="A1057" s="16">
        <v>245</v>
      </c>
      <c r="B1057" s="16">
        <v>50</v>
      </c>
      <c r="C1057" s="16">
        <v>45</v>
      </c>
      <c r="D1057" s="16" t="s">
        <v>2</v>
      </c>
      <c r="E1057" s="17">
        <f>4.194-2.105+0.001</f>
        <v>2.09</v>
      </c>
      <c r="F1057" s="18">
        <f>91700+3000+1000</f>
        <v>95700</v>
      </c>
      <c r="N1057" s="21"/>
      <c r="O1057" s="22"/>
    </row>
    <row r="1058" spans="1:15" s="10" customFormat="1" x14ac:dyDescent="0.25">
      <c r="A1058" s="16">
        <v>245</v>
      </c>
      <c r="B1058" s="16">
        <v>50</v>
      </c>
      <c r="C1058" s="16">
        <v>45</v>
      </c>
      <c r="D1058" s="16" t="s">
        <v>85</v>
      </c>
      <c r="E1058" s="17">
        <f>10.996-1.598</f>
        <v>9.3979999999999997</v>
      </c>
      <c r="F1058" s="18">
        <f>94700+1000</f>
        <v>95700</v>
      </c>
      <c r="N1058" s="21"/>
      <c r="O1058" s="22"/>
    </row>
    <row r="1059" spans="1:15" s="10" customFormat="1" x14ac:dyDescent="0.25">
      <c r="A1059" s="16">
        <v>245</v>
      </c>
      <c r="B1059" s="16">
        <v>50</v>
      </c>
      <c r="C1059" s="16" t="s">
        <v>5</v>
      </c>
      <c r="D1059" s="16" t="s">
        <v>85</v>
      </c>
      <c r="E1059" s="17">
        <f>8.477-0.74-0.291-1.667-1.655-1.438</f>
        <v>2.6859999999999999</v>
      </c>
      <c r="F1059" s="18">
        <f>125700+1000</f>
        <v>126700</v>
      </c>
      <c r="N1059" s="21"/>
      <c r="O1059" s="22"/>
    </row>
    <row r="1060" spans="1:15" s="10" customFormat="1" x14ac:dyDescent="0.25">
      <c r="A1060" s="16">
        <v>245</v>
      </c>
      <c r="B1060" s="16">
        <v>50</v>
      </c>
      <c r="C1060" s="16" t="s">
        <v>5</v>
      </c>
      <c r="D1060" s="16" t="s">
        <v>2</v>
      </c>
      <c r="E1060" s="17">
        <f>6.29-3.977-0.885</f>
        <v>1.4280000000000002</v>
      </c>
      <c r="F1060" s="18">
        <f>125700+1000</f>
        <v>126700</v>
      </c>
      <c r="N1060" s="21"/>
      <c r="O1060" s="22"/>
    </row>
    <row r="1061" spans="1:15" s="10" customFormat="1" x14ac:dyDescent="0.25">
      <c r="A1061" s="16">
        <v>245</v>
      </c>
      <c r="B1061" s="16">
        <v>50</v>
      </c>
      <c r="C1061" s="16" t="s">
        <v>5</v>
      </c>
      <c r="D1061" s="16" t="s">
        <v>85</v>
      </c>
      <c r="E1061" s="17">
        <f>2.938-0.121-1.33+0.002</f>
        <v>1.4890000000000001</v>
      </c>
      <c r="F1061" s="18">
        <f>125700+1000</f>
        <v>126700</v>
      </c>
      <c r="N1061" s="21"/>
      <c r="O1061" s="22"/>
    </row>
    <row r="1062" spans="1:15" s="10" customFormat="1" x14ac:dyDescent="0.25">
      <c r="A1062" s="16">
        <v>250</v>
      </c>
      <c r="B1062" s="16">
        <v>15</v>
      </c>
      <c r="C1062" s="16" t="s">
        <v>5</v>
      </c>
      <c r="D1062" s="16" t="s">
        <v>2</v>
      </c>
      <c r="E1062" s="17">
        <v>1.4790000000000001</v>
      </c>
      <c r="F1062" s="18">
        <v>126700</v>
      </c>
      <c r="N1062" s="21"/>
      <c r="O1062" s="22"/>
    </row>
    <row r="1063" spans="1:15" s="10" customFormat="1" x14ac:dyDescent="0.25">
      <c r="A1063" s="16">
        <v>273</v>
      </c>
      <c r="B1063" s="16">
        <v>5</v>
      </c>
      <c r="C1063" s="16" t="s">
        <v>101</v>
      </c>
      <c r="D1063" s="16" t="s">
        <v>25</v>
      </c>
      <c r="E1063" s="17">
        <v>1.2</v>
      </c>
      <c r="F1063" s="18">
        <v>54700</v>
      </c>
      <c r="N1063" s="21"/>
      <c r="O1063" s="22"/>
    </row>
    <row r="1064" spans="1:15" s="10" customFormat="1" x14ac:dyDescent="0.25">
      <c r="A1064" s="16">
        <v>273</v>
      </c>
      <c r="B1064" s="16">
        <v>6</v>
      </c>
      <c r="C1064" s="16" t="s">
        <v>101</v>
      </c>
      <c r="D1064" s="16" t="s">
        <v>25</v>
      </c>
      <c r="E1064" s="17">
        <v>3.2280000000000002</v>
      </c>
      <c r="F1064" s="18">
        <v>54700</v>
      </c>
      <c r="N1064" s="21"/>
      <c r="O1064" s="22"/>
    </row>
    <row r="1065" spans="1:15" s="10" customFormat="1" x14ac:dyDescent="0.25">
      <c r="A1065" s="16">
        <v>273</v>
      </c>
      <c r="B1065" s="16">
        <v>7</v>
      </c>
      <c r="C1065" s="16" t="s">
        <v>101</v>
      </c>
      <c r="D1065" s="16" t="s">
        <v>25</v>
      </c>
      <c r="E1065" s="17">
        <v>1.04</v>
      </c>
      <c r="F1065" s="18">
        <v>54700</v>
      </c>
      <c r="N1065" s="21"/>
      <c r="O1065" s="22"/>
    </row>
    <row r="1066" spans="1:15" s="10" customFormat="1" x14ac:dyDescent="0.25">
      <c r="A1066" s="16">
        <v>273</v>
      </c>
      <c r="B1066" s="16">
        <v>7</v>
      </c>
      <c r="C1066" s="16" t="s">
        <v>101</v>
      </c>
      <c r="D1066" s="16" t="s">
        <v>25</v>
      </c>
      <c r="E1066" s="17">
        <v>0.54600000000000004</v>
      </c>
      <c r="F1066" s="18">
        <v>54700</v>
      </c>
      <c r="N1066" s="21"/>
      <c r="O1066" s="22"/>
    </row>
    <row r="1067" spans="1:15" s="10" customFormat="1" x14ac:dyDescent="0.25">
      <c r="A1067" s="16">
        <v>273</v>
      </c>
      <c r="B1067" s="16">
        <v>8</v>
      </c>
      <c r="C1067" s="16" t="s">
        <v>101</v>
      </c>
      <c r="D1067" s="16" t="s">
        <v>25</v>
      </c>
      <c r="E1067" s="17">
        <v>0.20499999999999999</v>
      </c>
      <c r="F1067" s="18">
        <v>54700</v>
      </c>
      <c r="N1067" s="21"/>
      <c r="O1067" s="22"/>
    </row>
    <row r="1068" spans="1:15" s="10" customFormat="1" x14ac:dyDescent="0.25">
      <c r="A1068" s="16">
        <v>273</v>
      </c>
      <c r="B1068" s="16">
        <v>8</v>
      </c>
      <c r="C1068" s="16">
        <v>20</v>
      </c>
      <c r="D1068" s="16" t="s">
        <v>2</v>
      </c>
      <c r="E1068" s="17">
        <f>8.465-4.841-0.064-0.055-0.024-0.136-0.093+0.005-0.062-0.03-0.043-0.104-0.022</f>
        <v>2.9959999999999996</v>
      </c>
      <c r="F1068" s="18">
        <f>72700+3000+1000</f>
        <v>76700</v>
      </c>
      <c r="N1068" s="21"/>
      <c r="O1068" s="22"/>
    </row>
    <row r="1069" spans="1:15" s="10" customFormat="1" x14ac:dyDescent="0.25">
      <c r="A1069" s="16">
        <v>273</v>
      </c>
      <c r="B1069" s="16">
        <v>8</v>
      </c>
      <c r="C1069" s="16" t="s">
        <v>30</v>
      </c>
      <c r="D1069" s="16" t="s">
        <v>2</v>
      </c>
      <c r="E1069" s="17">
        <v>3.39</v>
      </c>
      <c r="F1069" s="18">
        <f>89700+1000</f>
        <v>90700</v>
      </c>
      <c r="N1069" s="21"/>
      <c r="O1069" s="22"/>
    </row>
    <row r="1070" spans="1:15" s="10" customFormat="1" x14ac:dyDescent="0.25">
      <c r="A1070" s="16">
        <v>273</v>
      </c>
      <c r="B1070" s="16">
        <v>9</v>
      </c>
      <c r="C1070" s="16">
        <v>20</v>
      </c>
      <c r="D1070" s="16" t="s">
        <v>2</v>
      </c>
      <c r="E1070" s="17">
        <v>1.3520000000000001</v>
      </c>
      <c r="F1070" s="18">
        <f>72700+3000+1000</f>
        <v>76700</v>
      </c>
      <c r="N1070" s="21"/>
      <c r="O1070" s="22"/>
    </row>
    <row r="1071" spans="1:15" s="10" customFormat="1" x14ac:dyDescent="0.25">
      <c r="A1071" s="16">
        <v>273</v>
      </c>
      <c r="B1071" s="16">
        <v>9</v>
      </c>
      <c r="C1071" s="16" t="s">
        <v>0</v>
      </c>
      <c r="D1071" s="16" t="s">
        <v>13</v>
      </c>
      <c r="E1071" s="17">
        <f>0.825-0.066-0.12-0.074-0.04-0.014-0.012-0.181</f>
        <v>0.31799999999999989</v>
      </c>
      <c r="F1071" s="18">
        <f>80700+1000</f>
        <v>81700</v>
      </c>
      <c r="N1071" s="21"/>
      <c r="O1071" s="22"/>
    </row>
    <row r="1072" spans="1:15" s="10" customFormat="1" x14ac:dyDescent="0.25">
      <c r="A1072" s="16">
        <v>273</v>
      </c>
      <c r="B1072" s="16">
        <v>10</v>
      </c>
      <c r="C1072" s="16">
        <v>20</v>
      </c>
      <c r="D1072" s="16" t="s">
        <v>28</v>
      </c>
      <c r="E1072" s="17">
        <f>0.534-0.133</f>
        <v>0.40100000000000002</v>
      </c>
      <c r="F1072" s="18">
        <f>85000+1000</f>
        <v>86000</v>
      </c>
      <c r="N1072" s="21"/>
      <c r="O1072" s="22"/>
    </row>
    <row r="1073" spans="1:15" s="10" customFormat="1" x14ac:dyDescent="0.25">
      <c r="A1073" s="16">
        <v>273</v>
      </c>
      <c r="B1073" s="16">
        <v>10</v>
      </c>
      <c r="C1073" s="16">
        <v>20</v>
      </c>
      <c r="D1073" s="16" t="s">
        <v>2</v>
      </c>
      <c r="E1073" s="17">
        <v>1.9830000000000001</v>
      </c>
      <c r="F1073" s="18">
        <v>76700</v>
      </c>
      <c r="N1073" s="21"/>
      <c r="O1073" s="22"/>
    </row>
    <row r="1074" spans="1:15" s="10" customFormat="1" x14ac:dyDescent="0.25">
      <c r="A1074" s="16">
        <v>273</v>
      </c>
      <c r="B1074" s="16">
        <v>10</v>
      </c>
      <c r="C1074" s="16" t="s">
        <v>46</v>
      </c>
      <c r="D1074" s="16" t="s">
        <v>47</v>
      </c>
      <c r="E1074" s="17">
        <f>2.129-0.081</f>
        <v>2.048</v>
      </c>
      <c r="F1074" s="18">
        <f>89700+1000</f>
        <v>90700</v>
      </c>
      <c r="N1074" s="21"/>
      <c r="O1074" s="22"/>
    </row>
    <row r="1075" spans="1:15" s="10" customFormat="1" x14ac:dyDescent="0.25">
      <c r="A1075" s="16">
        <v>273</v>
      </c>
      <c r="B1075" s="16">
        <v>10</v>
      </c>
      <c r="C1075" s="16" t="s">
        <v>0</v>
      </c>
      <c r="D1075" s="16" t="s">
        <v>13</v>
      </c>
      <c r="E1075" s="17">
        <f>0.333-0.085-0.009</f>
        <v>0.23899999999999999</v>
      </c>
      <c r="F1075" s="18">
        <f>80700+1000</f>
        <v>81700</v>
      </c>
      <c r="N1075" s="21"/>
      <c r="O1075" s="22"/>
    </row>
    <row r="1076" spans="1:15" s="10" customFormat="1" x14ac:dyDescent="0.25">
      <c r="A1076" s="16">
        <v>273</v>
      </c>
      <c r="B1076" s="16">
        <v>10</v>
      </c>
      <c r="C1076" s="16" t="s">
        <v>8</v>
      </c>
      <c r="D1076" s="16" t="s">
        <v>9</v>
      </c>
      <c r="E1076" s="17">
        <f>5.235-0.493-1.087</f>
        <v>3.6550000000000002</v>
      </c>
      <c r="F1076" s="18">
        <v>350000</v>
      </c>
      <c r="N1076" s="21"/>
      <c r="O1076" s="22"/>
    </row>
    <row r="1077" spans="1:15" s="10" customFormat="1" x14ac:dyDescent="0.25">
      <c r="A1077" s="16">
        <v>273</v>
      </c>
      <c r="B1077" s="16">
        <v>11</v>
      </c>
      <c r="C1077" s="16" t="s">
        <v>30</v>
      </c>
      <c r="D1077" s="16" t="s">
        <v>19</v>
      </c>
      <c r="E1077" s="17">
        <f>1.927-0.072-0.038</f>
        <v>1.8169999999999999</v>
      </c>
      <c r="F1077" s="18">
        <f>89700+1000</f>
        <v>90700</v>
      </c>
      <c r="N1077" s="21"/>
      <c r="O1077" s="22"/>
    </row>
    <row r="1078" spans="1:15" s="10" customFormat="1" x14ac:dyDescent="0.25">
      <c r="A1078" s="16">
        <v>273</v>
      </c>
      <c r="B1078" s="16">
        <v>12</v>
      </c>
      <c r="C1078" s="16">
        <v>20</v>
      </c>
      <c r="D1078" s="16" t="s">
        <v>2</v>
      </c>
      <c r="E1078" s="17">
        <f>4.94-0.084-1.64-0.138</f>
        <v>3.0780000000000012</v>
      </c>
      <c r="F1078" s="18">
        <f>75700+1000</f>
        <v>76700</v>
      </c>
      <c r="N1078" s="21"/>
      <c r="O1078" s="22"/>
    </row>
    <row r="1079" spans="1:15" s="10" customFormat="1" x14ac:dyDescent="0.25">
      <c r="A1079" s="16">
        <v>273</v>
      </c>
      <c r="B1079" s="16">
        <v>12</v>
      </c>
      <c r="C1079" s="16" t="s">
        <v>0</v>
      </c>
      <c r="D1079" s="16" t="s">
        <v>2</v>
      </c>
      <c r="E1079" s="17">
        <f>1.174-0.759+0.001-0.097-0.104-0.038-0.047</f>
        <v>0.12999999999999995</v>
      </c>
      <c r="F1079" s="18">
        <f>75700+3000+1000</f>
        <v>79700</v>
      </c>
      <c r="N1079" s="21"/>
      <c r="O1079" s="22"/>
    </row>
    <row r="1080" spans="1:15" s="10" customFormat="1" x14ac:dyDescent="0.25">
      <c r="A1080" s="16">
        <v>273</v>
      </c>
      <c r="B1080" s="16">
        <v>12</v>
      </c>
      <c r="C1080" s="16" t="s">
        <v>0</v>
      </c>
      <c r="D1080" s="16" t="s">
        <v>2</v>
      </c>
      <c r="E1080" s="17">
        <f>3.528-0.91-0.16-0.88</f>
        <v>1.5779999999999998</v>
      </c>
      <c r="F1080" s="18">
        <f>75700+3000+1000</f>
        <v>79700</v>
      </c>
      <c r="N1080" s="21"/>
      <c r="O1080" s="22"/>
    </row>
    <row r="1081" spans="1:15" s="10" customFormat="1" x14ac:dyDescent="0.25">
      <c r="A1081" s="16">
        <v>273</v>
      </c>
      <c r="B1081" s="16">
        <v>12</v>
      </c>
      <c r="C1081" s="16" t="s">
        <v>8</v>
      </c>
      <c r="D1081" s="16" t="s">
        <v>9</v>
      </c>
      <c r="E1081" s="17">
        <v>4.9820000000000002</v>
      </c>
      <c r="F1081" s="18">
        <v>350000</v>
      </c>
      <c r="N1081" s="21"/>
      <c r="O1081" s="22"/>
    </row>
    <row r="1082" spans="1:15" s="10" customFormat="1" x14ac:dyDescent="0.25">
      <c r="A1082" s="16">
        <v>273</v>
      </c>
      <c r="B1082" s="16">
        <v>12</v>
      </c>
      <c r="C1082" s="16" t="s">
        <v>8</v>
      </c>
      <c r="D1082" s="16" t="s">
        <v>9</v>
      </c>
      <c r="E1082" s="17">
        <v>2.4550000000000001</v>
      </c>
      <c r="F1082" s="18">
        <v>350000</v>
      </c>
      <c r="N1082" s="21"/>
      <c r="O1082" s="22"/>
    </row>
    <row r="1083" spans="1:15" s="10" customFormat="1" x14ac:dyDescent="0.25">
      <c r="A1083" s="16">
        <v>273</v>
      </c>
      <c r="B1083" s="16">
        <v>12</v>
      </c>
      <c r="C1083" s="16" t="s">
        <v>8</v>
      </c>
      <c r="D1083" s="16" t="s">
        <v>9</v>
      </c>
      <c r="E1083" s="17">
        <v>6.29</v>
      </c>
      <c r="F1083" s="18">
        <v>350000</v>
      </c>
      <c r="N1083" s="21"/>
      <c r="O1083" s="22"/>
    </row>
    <row r="1084" spans="1:15" s="10" customFormat="1" x14ac:dyDescent="0.25">
      <c r="A1084" s="16">
        <v>273</v>
      </c>
      <c r="B1084" s="16">
        <v>12</v>
      </c>
      <c r="C1084" s="16" t="s">
        <v>5</v>
      </c>
      <c r="D1084" s="16" t="s">
        <v>2</v>
      </c>
      <c r="E1084" s="17">
        <v>0.57399999999999995</v>
      </c>
      <c r="F1084" s="18">
        <f>125700+1000</f>
        <v>126700</v>
      </c>
      <c r="N1084" s="21"/>
      <c r="O1084" s="22"/>
    </row>
    <row r="1085" spans="1:15" s="10" customFormat="1" x14ac:dyDescent="0.25">
      <c r="A1085" s="16">
        <v>273</v>
      </c>
      <c r="B1085" s="16">
        <v>12</v>
      </c>
      <c r="C1085" s="16" t="s">
        <v>5</v>
      </c>
      <c r="D1085" s="16" t="s">
        <v>2</v>
      </c>
      <c r="E1085" s="17">
        <v>0.245</v>
      </c>
      <c r="F1085" s="18">
        <f>125700+1000</f>
        <v>126700</v>
      </c>
      <c r="N1085" s="21"/>
      <c r="O1085" s="22"/>
    </row>
    <row r="1086" spans="1:15" s="10" customFormat="1" x14ac:dyDescent="0.25">
      <c r="A1086" s="16">
        <v>273</v>
      </c>
      <c r="B1086" s="16">
        <v>13</v>
      </c>
      <c r="C1086" s="16">
        <v>20</v>
      </c>
      <c r="D1086" s="16" t="s">
        <v>4</v>
      </c>
      <c r="E1086" s="17">
        <v>0.83399999999999996</v>
      </c>
      <c r="F1086" s="18">
        <f>125700+1000</f>
        <v>126700</v>
      </c>
      <c r="N1086" s="21"/>
      <c r="O1086" s="22"/>
    </row>
    <row r="1087" spans="1:15" s="10" customFormat="1" x14ac:dyDescent="0.25">
      <c r="A1087" s="16">
        <v>273</v>
      </c>
      <c r="B1087" s="16">
        <v>14</v>
      </c>
      <c r="C1087" s="16">
        <v>20</v>
      </c>
      <c r="D1087" s="16" t="s">
        <v>2</v>
      </c>
      <c r="E1087" s="17">
        <v>4.1580000000000004</v>
      </c>
      <c r="F1087" s="18">
        <f>72700+3000+1000</f>
        <v>76700</v>
      </c>
      <c r="N1087" s="21"/>
      <c r="O1087" s="22"/>
    </row>
    <row r="1088" spans="1:15" s="10" customFormat="1" x14ac:dyDescent="0.25">
      <c r="A1088" s="16">
        <v>273</v>
      </c>
      <c r="B1088" s="16">
        <v>14</v>
      </c>
      <c r="C1088" s="16">
        <v>20</v>
      </c>
      <c r="D1088" s="16" t="s">
        <v>2</v>
      </c>
      <c r="E1088" s="17">
        <f>4.772-0.696</f>
        <v>4.0760000000000005</v>
      </c>
      <c r="F1088" s="18">
        <f>72700+3000+1000</f>
        <v>76700</v>
      </c>
      <c r="N1088" s="21"/>
      <c r="O1088" s="22"/>
    </row>
    <row r="1089" spans="1:15" s="10" customFormat="1" x14ac:dyDescent="0.25">
      <c r="A1089" s="16">
        <v>273</v>
      </c>
      <c r="B1089" s="16">
        <v>14</v>
      </c>
      <c r="C1089" s="16">
        <v>20</v>
      </c>
      <c r="D1089" s="16" t="s">
        <v>2</v>
      </c>
      <c r="E1089" s="17">
        <f>12.09-0.971-1.988</f>
        <v>9.1310000000000002</v>
      </c>
      <c r="F1089" s="18">
        <f>72700+3000+1000</f>
        <v>76700</v>
      </c>
      <c r="N1089" s="21"/>
      <c r="O1089" s="22"/>
    </row>
    <row r="1090" spans="1:15" s="10" customFormat="1" x14ac:dyDescent="0.25">
      <c r="A1090" s="16">
        <v>273</v>
      </c>
      <c r="B1090" s="16">
        <v>14</v>
      </c>
      <c r="C1090" s="16">
        <v>20</v>
      </c>
      <c r="D1090" s="16" t="s">
        <v>2</v>
      </c>
      <c r="E1090" s="17">
        <f>4.076-0.093-0.024-0.186-3.063-0.276-0.092</f>
        <v>0.34199999999999953</v>
      </c>
      <c r="F1090" s="18">
        <f>72700+3000+1000</f>
        <v>76700</v>
      </c>
      <c r="N1090" s="21"/>
      <c r="O1090" s="22"/>
    </row>
    <row r="1091" spans="1:15" s="10" customFormat="1" x14ac:dyDescent="0.25">
      <c r="A1091" s="16">
        <v>273</v>
      </c>
      <c r="B1091" s="16">
        <v>14</v>
      </c>
      <c r="C1091" s="16" t="s">
        <v>0</v>
      </c>
      <c r="D1091" s="16" t="s">
        <v>2</v>
      </c>
      <c r="E1091" s="17">
        <f>2.2-0.688+0.001-0.041-0.316-0.073</f>
        <v>1.0830000000000002</v>
      </c>
      <c r="F1091" s="18">
        <f>75700+3000+1000</f>
        <v>79700</v>
      </c>
      <c r="N1091" s="21"/>
      <c r="O1091" s="22"/>
    </row>
    <row r="1092" spans="1:15" s="10" customFormat="1" x14ac:dyDescent="0.25">
      <c r="A1092" s="16">
        <v>273</v>
      </c>
      <c r="B1092" s="16">
        <v>14</v>
      </c>
      <c r="C1092" s="16" t="s">
        <v>0</v>
      </c>
      <c r="D1092" s="16" t="s">
        <v>13</v>
      </c>
      <c r="E1092" s="17">
        <v>0.68799999999999994</v>
      </c>
      <c r="F1092" s="18">
        <v>81700</v>
      </c>
      <c r="N1092" s="21"/>
      <c r="O1092" s="22"/>
    </row>
    <row r="1093" spans="1:15" s="10" customFormat="1" x14ac:dyDescent="0.25">
      <c r="A1093" s="16">
        <v>273</v>
      </c>
      <c r="B1093" s="16">
        <v>14</v>
      </c>
      <c r="C1093" s="16" t="s">
        <v>8</v>
      </c>
      <c r="D1093" s="16" t="s">
        <v>9</v>
      </c>
      <c r="E1093" s="17">
        <f>5.103+0.603</f>
        <v>5.7059999999999995</v>
      </c>
      <c r="F1093" s="18">
        <v>350000</v>
      </c>
      <c r="N1093" s="21"/>
      <c r="O1093" s="22"/>
    </row>
    <row r="1094" spans="1:15" s="10" customFormat="1" x14ac:dyDescent="0.25">
      <c r="A1094" s="16">
        <v>273</v>
      </c>
      <c r="B1094" s="16">
        <v>14</v>
      </c>
      <c r="C1094" s="16" t="s">
        <v>8</v>
      </c>
      <c r="D1094" s="16" t="s">
        <v>9</v>
      </c>
      <c r="E1094" s="17">
        <v>0.58699999999999997</v>
      </c>
      <c r="F1094" s="18">
        <v>350000</v>
      </c>
      <c r="N1094" s="21"/>
      <c r="O1094" s="22"/>
    </row>
    <row r="1095" spans="1:15" s="10" customFormat="1" x14ac:dyDescent="0.25">
      <c r="A1095" s="16">
        <v>273</v>
      </c>
      <c r="B1095" s="16">
        <v>14</v>
      </c>
      <c r="C1095" s="16">
        <v>20</v>
      </c>
      <c r="D1095" s="16" t="s">
        <v>4</v>
      </c>
      <c r="E1095" s="17">
        <v>5.7709999999999999</v>
      </c>
      <c r="F1095" s="18">
        <f>125700+1000</f>
        <v>126700</v>
      </c>
      <c r="N1095" s="21"/>
      <c r="O1095" s="22"/>
    </row>
    <row r="1096" spans="1:15" s="10" customFormat="1" x14ac:dyDescent="0.25">
      <c r="A1096" s="16">
        <v>273</v>
      </c>
      <c r="B1096" s="16">
        <v>16</v>
      </c>
      <c r="C1096" s="16">
        <v>20</v>
      </c>
      <c r="D1096" s="16" t="s">
        <v>2</v>
      </c>
      <c r="E1096" s="17">
        <v>2.9849999999999999</v>
      </c>
      <c r="F1096" s="18">
        <f>75700+1000</f>
        <v>76700</v>
      </c>
      <c r="N1096" s="21"/>
      <c r="O1096" s="22"/>
    </row>
    <row r="1097" spans="1:15" s="10" customFormat="1" x14ac:dyDescent="0.25">
      <c r="A1097" s="16">
        <v>273</v>
      </c>
      <c r="B1097" s="16">
        <v>16</v>
      </c>
      <c r="C1097" s="16" t="s">
        <v>30</v>
      </c>
      <c r="D1097" s="16" t="s">
        <v>2</v>
      </c>
      <c r="E1097" s="17">
        <f>6.671-0.106-0.411-0.127-0.043</f>
        <v>5.9840000000000009</v>
      </c>
      <c r="F1097" s="18">
        <f>89700+1000</f>
        <v>90700</v>
      </c>
      <c r="N1097" s="21"/>
      <c r="O1097" s="22"/>
    </row>
    <row r="1098" spans="1:15" s="10" customFormat="1" x14ac:dyDescent="0.25">
      <c r="A1098" s="16">
        <v>273</v>
      </c>
      <c r="B1098" s="16">
        <v>16</v>
      </c>
      <c r="C1098" s="16" t="s">
        <v>8</v>
      </c>
      <c r="D1098" s="16" t="s">
        <v>9</v>
      </c>
      <c r="E1098" s="17">
        <v>5.8049999999999997</v>
      </c>
      <c r="F1098" s="18">
        <v>350000</v>
      </c>
      <c r="N1098" s="21"/>
      <c r="O1098" s="22"/>
    </row>
    <row r="1099" spans="1:15" s="10" customFormat="1" x14ac:dyDescent="0.25">
      <c r="A1099" s="16">
        <v>273</v>
      </c>
      <c r="B1099" s="16">
        <v>18</v>
      </c>
      <c r="C1099" s="16" t="s">
        <v>0</v>
      </c>
      <c r="D1099" s="16" t="s">
        <v>2</v>
      </c>
      <c r="E1099" s="17">
        <v>4.3090000000000002</v>
      </c>
      <c r="F1099" s="18">
        <f>75700+3000+1000</f>
        <v>79700</v>
      </c>
      <c r="N1099" s="21"/>
      <c r="O1099" s="22"/>
    </row>
    <row r="1100" spans="1:15" s="10" customFormat="1" x14ac:dyDescent="0.25">
      <c r="A1100" s="16">
        <v>273</v>
      </c>
      <c r="B1100" s="16">
        <v>18</v>
      </c>
      <c r="C1100" s="16" t="s">
        <v>0</v>
      </c>
      <c r="D1100" s="16" t="s">
        <v>2</v>
      </c>
      <c r="E1100" s="17">
        <v>1.6859999999999999</v>
      </c>
      <c r="F1100" s="18">
        <f>75700+3000+1000</f>
        <v>79700</v>
      </c>
      <c r="N1100" s="21"/>
      <c r="O1100" s="22"/>
    </row>
    <row r="1101" spans="1:15" s="10" customFormat="1" x14ac:dyDescent="0.25">
      <c r="A1101" s="16">
        <v>273</v>
      </c>
      <c r="B1101" s="16">
        <v>18</v>
      </c>
      <c r="C1101" s="16" t="s">
        <v>0</v>
      </c>
      <c r="D1101" s="16" t="s">
        <v>2</v>
      </c>
      <c r="E1101" s="17">
        <v>0.56599999999999995</v>
      </c>
      <c r="F1101" s="18">
        <v>79700</v>
      </c>
      <c r="N1101" s="21"/>
      <c r="O1101" s="22"/>
    </row>
    <row r="1102" spans="1:15" s="10" customFormat="1" x14ac:dyDescent="0.25">
      <c r="A1102" s="16">
        <v>273</v>
      </c>
      <c r="B1102" s="16">
        <v>18</v>
      </c>
      <c r="C1102" s="16">
        <v>20</v>
      </c>
      <c r="D1102" s="16" t="s">
        <v>2</v>
      </c>
      <c r="E1102" s="17">
        <f>0.95-0.122</f>
        <v>0.82799999999999996</v>
      </c>
      <c r="F1102" s="18">
        <v>69700</v>
      </c>
      <c r="N1102" s="21"/>
      <c r="O1102" s="22"/>
    </row>
    <row r="1103" spans="1:15" s="10" customFormat="1" x14ac:dyDescent="0.25">
      <c r="A1103" s="16">
        <v>273</v>
      </c>
      <c r="B1103" s="16">
        <v>18</v>
      </c>
      <c r="C1103" s="16" t="s">
        <v>8</v>
      </c>
      <c r="D1103" s="16" t="s">
        <v>9</v>
      </c>
      <c r="E1103" s="17">
        <v>2.8780000000000001</v>
      </c>
      <c r="F1103" s="18">
        <v>350000</v>
      </c>
      <c r="N1103" s="21"/>
      <c r="O1103" s="22"/>
    </row>
    <row r="1104" spans="1:15" s="10" customFormat="1" x14ac:dyDescent="0.25">
      <c r="A1104" s="16">
        <v>273</v>
      </c>
      <c r="B1104" s="16">
        <v>20</v>
      </c>
      <c r="C1104" s="16">
        <v>20</v>
      </c>
      <c r="D1104" s="16" t="s">
        <v>2</v>
      </c>
      <c r="E1104" s="17">
        <v>4.7720000000000002</v>
      </c>
      <c r="F1104" s="18">
        <f>72700+3000+1000</f>
        <v>76700</v>
      </c>
      <c r="N1104" s="21"/>
      <c r="O1104" s="22"/>
    </row>
    <row r="1105" spans="1:15" s="10" customFormat="1" x14ac:dyDescent="0.25">
      <c r="A1105" s="16">
        <v>273</v>
      </c>
      <c r="B1105" s="16">
        <v>20</v>
      </c>
      <c r="C1105" s="16">
        <v>20</v>
      </c>
      <c r="D1105" s="16" t="s">
        <v>2</v>
      </c>
      <c r="E1105" s="17">
        <f>19.717-0.154-0.074-0.36-0.406-0.153-0.883-1.026-0.803</f>
        <v>15.858000000000001</v>
      </c>
      <c r="F1105" s="18">
        <f>72700+3000+1000</f>
        <v>76700</v>
      </c>
      <c r="N1105" s="21"/>
      <c r="O1105" s="22"/>
    </row>
    <row r="1106" spans="1:15" s="10" customFormat="1" x14ac:dyDescent="0.25">
      <c r="A1106" s="16">
        <v>273</v>
      </c>
      <c r="B1106" s="16">
        <v>20</v>
      </c>
      <c r="C1106" s="16">
        <v>45</v>
      </c>
      <c r="D1106" s="16" t="s">
        <v>2</v>
      </c>
      <c r="E1106" s="17">
        <v>5</v>
      </c>
      <c r="F1106" s="18">
        <f>74700+3000+1000</f>
        <v>78700</v>
      </c>
      <c r="N1106" s="21"/>
      <c r="O1106" s="22"/>
    </row>
    <row r="1107" spans="1:15" s="10" customFormat="1" x14ac:dyDescent="0.25">
      <c r="A1107" s="16">
        <v>273</v>
      </c>
      <c r="B1107" s="16">
        <v>20</v>
      </c>
      <c r="C1107" s="16" t="s">
        <v>0</v>
      </c>
      <c r="D1107" s="16" t="s">
        <v>2</v>
      </c>
      <c r="E1107" s="17">
        <f>0.323-0.1</f>
        <v>0.223</v>
      </c>
      <c r="F1107" s="18">
        <f>75700+3000+1000</f>
        <v>79700</v>
      </c>
      <c r="N1107" s="21"/>
      <c r="O1107" s="22"/>
    </row>
    <row r="1108" spans="1:15" s="10" customFormat="1" x14ac:dyDescent="0.25">
      <c r="A1108" s="16">
        <v>273</v>
      </c>
      <c r="B1108" s="16">
        <v>20</v>
      </c>
      <c r="C1108" s="16" t="s">
        <v>0</v>
      </c>
      <c r="D1108" s="16" t="s">
        <v>2</v>
      </c>
      <c r="E1108" s="17">
        <f>3.605-0.554-0.684-0.418-0.312</f>
        <v>1.637</v>
      </c>
      <c r="F1108" s="18">
        <f>75700+3000+1000</f>
        <v>79700</v>
      </c>
      <c r="N1108" s="21"/>
      <c r="O1108" s="22"/>
    </row>
    <row r="1109" spans="1:15" s="10" customFormat="1" x14ac:dyDescent="0.25">
      <c r="A1109" s="16">
        <v>273</v>
      </c>
      <c r="B1109" s="16">
        <v>20</v>
      </c>
      <c r="C1109" s="16" t="s">
        <v>0</v>
      </c>
      <c r="D1109" s="16" t="s">
        <v>2</v>
      </c>
      <c r="E1109" s="17">
        <f>1.632-0.144</f>
        <v>1.488</v>
      </c>
      <c r="F1109" s="18">
        <f>75700+3000+1000</f>
        <v>79700</v>
      </c>
      <c r="N1109" s="21"/>
      <c r="O1109" s="22"/>
    </row>
    <row r="1110" spans="1:15" s="10" customFormat="1" x14ac:dyDescent="0.25">
      <c r="A1110" s="16">
        <v>273</v>
      </c>
      <c r="B1110" s="16">
        <v>20</v>
      </c>
      <c r="C1110" s="16" t="s">
        <v>30</v>
      </c>
      <c r="D1110" s="16" t="s">
        <v>2</v>
      </c>
      <c r="E1110" s="17">
        <v>0.73199999999999998</v>
      </c>
      <c r="F1110" s="18">
        <f>89700+1000</f>
        <v>90700</v>
      </c>
      <c r="N1110" s="21"/>
      <c r="O1110" s="22"/>
    </row>
    <row r="1111" spans="1:15" s="10" customFormat="1" x14ac:dyDescent="0.25">
      <c r="A1111" s="16">
        <v>273</v>
      </c>
      <c r="B1111" s="16">
        <v>20</v>
      </c>
      <c r="C1111" s="16" t="s">
        <v>5</v>
      </c>
      <c r="D1111" s="16" t="s">
        <v>2</v>
      </c>
      <c r="E1111" s="17">
        <f>4.928-1.908</f>
        <v>3.02</v>
      </c>
      <c r="F1111" s="18">
        <f>125700+1000</f>
        <v>126700</v>
      </c>
      <c r="N1111" s="21"/>
      <c r="O1111" s="22"/>
    </row>
    <row r="1112" spans="1:15" s="10" customFormat="1" x14ac:dyDescent="0.25">
      <c r="A1112" s="16">
        <v>273</v>
      </c>
      <c r="B1112" s="16">
        <v>20</v>
      </c>
      <c r="C1112" s="16" t="s">
        <v>5</v>
      </c>
      <c r="D1112" s="16" t="s">
        <v>2</v>
      </c>
      <c r="E1112" s="17">
        <v>5</v>
      </c>
      <c r="F1112" s="18">
        <f>125700+1000</f>
        <v>126700</v>
      </c>
      <c r="N1112" s="21"/>
      <c r="O1112" s="22"/>
    </row>
    <row r="1113" spans="1:15" s="10" customFormat="1" x14ac:dyDescent="0.25">
      <c r="A1113" s="16">
        <v>273</v>
      </c>
      <c r="B1113" s="16">
        <v>22</v>
      </c>
      <c r="C1113" s="16">
        <v>20</v>
      </c>
      <c r="D1113" s="16" t="s">
        <v>10</v>
      </c>
      <c r="E1113" s="17">
        <f>1.789-0.143-0.145-0.93+0.016-0.284</f>
        <v>0.30299999999999988</v>
      </c>
      <c r="F1113" s="18">
        <f>49700+1000</f>
        <v>50700</v>
      </c>
      <c r="N1113" s="21"/>
      <c r="O1113" s="22"/>
    </row>
    <row r="1114" spans="1:15" s="10" customFormat="1" x14ac:dyDescent="0.25">
      <c r="A1114" s="16">
        <v>273</v>
      </c>
      <c r="B1114" s="16">
        <v>22</v>
      </c>
      <c r="C1114" s="16">
        <v>20</v>
      </c>
      <c r="D1114" s="16" t="s">
        <v>2</v>
      </c>
      <c r="E1114" s="17">
        <f>4.61-1.565-0.23-1.209-0.099-0.276</f>
        <v>1.2310000000000003</v>
      </c>
      <c r="F1114" s="18">
        <f>72700+3000+1000</f>
        <v>76700</v>
      </c>
      <c r="N1114" s="21"/>
      <c r="O1114" s="22"/>
    </row>
    <row r="1115" spans="1:15" s="10" customFormat="1" x14ac:dyDescent="0.25">
      <c r="A1115" s="16">
        <v>273</v>
      </c>
      <c r="B1115" s="16">
        <v>22</v>
      </c>
      <c r="C1115" s="16" t="s">
        <v>0</v>
      </c>
      <c r="D1115" s="16" t="s">
        <v>2</v>
      </c>
      <c r="E1115" s="17">
        <f>6.28-0.145-0.327-0.278</f>
        <v>5.5300000000000011</v>
      </c>
      <c r="F1115" s="18">
        <f>75700+3000+1000</f>
        <v>79700</v>
      </c>
      <c r="N1115" s="21"/>
      <c r="O1115" s="22"/>
    </row>
    <row r="1116" spans="1:15" s="10" customFormat="1" x14ac:dyDescent="0.25">
      <c r="A1116" s="16">
        <v>273</v>
      </c>
      <c r="B1116" s="16">
        <v>22</v>
      </c>
      <c r="C1116" s="16" t="s">
        <v>30</v>
      </c>
      <c r="D1116" s="16" t="s">
        <v>2</v>
      </c>
      <c r="E1116" s="17">
        <v>2.9089999999999998</v>
      </c>
      <c r="F1116" s="18">
        <v>90700</v>
      </c>
      <c r="N1116" s="21"/>
      <c r="O1116" s="22"/>
    </row>
    <row r="1117" spans="1:15" s="10" customFormat="1" x14ac:dyDescent="0.25">
      <c r="A1117" s="16">
        <v>273</v>
      </c>
      <c r="B1117" s="16">
        <v>22</v>
      </c>
      <c r="C1117" s="16" t="s">
        <v>30</v>
      </c>
      <c r="D1117" s="16" t="s">
        <v>2</v>
      </c>
      <c r="E1117" s="17">
        <v>1.391</v>
      </c>
      <c r="F1117" s="18">
        <f>89700+1000</f>
        <v>90700</v>
      </c>
      <c r="N1117" s="21"/>
      <c r="O1117" s="22"/>
    </row>
    <row r="1118" spans="1:15" s="10" customFormat="1" x14ac:dyDescent="0.25">
      <c r="A1118" s="16">
        <v>273</v>
      </c>
      <c r="B1118" s="16">
        <v>22</v>
      </c>
      <c r="C1118" s="16" t="s">
        <v>30</v>
      </c>
      <c r="D1118" s="16" t="s">
        <v>2</v>
      </c>
      <c r="E1118" s="17">
        <v>5</v>
      </c>
      <c r="F1118" s="18">
        <f>89700+1000</f>
        <v>90700</v>
      </c>
      <c r="N1118" s="21"/>
      <c r="O1118" s="22"/>
    </row>
    <row r="1119" spans="1:15" s="10" customFormat="1" x14ac:dyDescent="0.25">
      <c r="A1119" s="16">
        <v>273</v>
      </c>
      <c r="B1119" s="16">
        <v>22</v>
      </c>
      <c r="C1119" s="16" t="s">
        <v>15</v>
      </c>
      <c r="D1119" s="16" t="s">
        <v>4</v>
      </c>
      <c r="E1119" s="17">
        <v>2.573</v>
      </c>
      <c r="F1119" s="18">
        <v>159700</v>
      </c>
      <c r="N1119" s="21"/>
      <c r="O1119" s="22"/>
    </row>
    <row r="1120" spans="1:15" s="10" customFormat="1" x14ac:dyDescent="0.25">
      <c r="A1120" s="16">
        <v>273</v>
      </c>
      <c r="B1120" s="16">
        <v>24</v>
      </c>
      <c r="C1120" s="16" t="s">
        <v>30</v>
      </c>
      <c r="D1120" s="16" t="s">
        <v>2</v>
      </c>
      <c r="E1120" s="17">
        <f>1.264-0.375</f>
        <v>0.88900000000000001</v>
      </c>
      <c r="F1120" s="18">
        <f>89700+1000</f>
        <v>90700</v>
      </c>
      <c r="N1120" s="21"/>
      <c r="O1120" s="22"/>
    </row>
    <row r="1121" spans="1:15" s="10" customFormat="1" x14ac:dyDescent="0.25">
      <c r="A1121" s="16">
        <v>273</v>
      </c>
      <c r="B1121" s="16">
        <v>24</v>
      </c>
      <c r="C1121" s="16" t="s">
        <v>30</v>
      </c>
      <c r="D1121" s="16" t="s">
        <v>2</v>
      </c>
      <c r="E1121" s="17">
        <v>1.5529999999999999</v>
      </c>
      <c r="F1121" s="18">
        <f>89700+1000</f>
        <v>90700</v>
      </c>
      <c r="N1121" s="21"/>
      <c r="O1121" s="22"/>
    </row>
    <row r="1122" spans="1:15" s="10" customFormat="1" x14ac:dyDescent="0.25">
      <c r="A1122" s="16">
        <v>273</v>
      </c>
      <c r="B1122" s="16">
        <v>24</v>
      </c>
      <c r="C1122" s="16" t="s">
        <v>15</v>
      </c>
      <c r="D1122" s="16" t="s">
        <v>4</v>
      </c>
      <c r="E1122" s="17">
        <v>0.495</v>
      </c>
      <c r="F1122" s="18">
        <v>159700</v>
      </c>
      <c r="N1122" s="21"/>
      <c r="O1122" s="22"/>
    </row>
    <row r="1123" spans="1:15" s="10" customFormat="1" x14ac:dyDescent="0.25">
      <c r="A1123" s="16">
        <v>273</v>
      </c>
      <c r="B1123" s="16">
        <v>25</v>
      </c>
      <c r="C1123" s="16">
        <v>20</v>
      </c>
      <c r="D1123" s="16" t="s">
        <v>85</v>
      </c>
      <c r="E1123" s="17">
        <f>11.164-1.43</f>
        <v>9.734</v>
      </c>
      <c r="F1123" s="18">
        <f>75700+1000</f>
        <v>76700</v>
      </c>
      <c r="N1123" s="21"/>
      <c r="O1123" s="22"/>
    </row>
    <row r="1124" spans="1:15" s="10" customFormat="1" x14ac:dyDescent="0.25">
      <c r="A1124" s="16">
        <v>273</v>
      </c>
      <c r="B1124" s="16">
        <v>25</v>
      </c>
      <c r="C1124" s="16" t="s">
        <v>0</v>
      </c>
      <c r="D1124" s="16" t="s">
        <v>2</v>
      </c>
      <c r="E1124" s="17">
        <f>14.146-3.152-0.158-0.519-1.36-2.916-3.577-0.169</f>
        <v>2.2950000000000004</v>
      </c>
      <c r="F1124" s="18">
        <f>75700+3000+1000</f>
        <v>79700</v>
      </c>
      <c r="N1124" s="21"/>
      <c r="O1124" s="22"/>
    </row>
    <row r="1125" spans="1:15" s="10" customFormat="1" x14ac:dyDescent="0.25">
      <c r="A1125" s="16">
        <v>273</v>
      </c>
      <c r="B1125" s="16">
        <v>25</v>
      </c>
      <c r="C1125" s="16" t="s">
        <v>0</v>
      </c>
      <c r="D1125" s="16" t="s">
        <v>85</v>
      </c>
      <c r="E1125" s="17">
        <v>10</v>
      </c>
      <c r="F1125" s="18">
        <v>79700</v>
      </c>
      <c r="N1125" s="21"/>
      <c r="O1125" s="22"/>
    </row>
    <row r="1126" spans="1:15" s="10" customFormat="1" x14ac:dyDescent="0.25">
      <c r="A1126" s="16">
        <v>273</v>
      </c>
      <c r="B1126" s="16">
        <v>25</v>
      </c>
      <c r="C1126" s="16" t="s">
        <v>5</v>
      </c>
      <c r="D1126" s="16" t="s">
        <v>2</v>
      </c>
      <c r="E1126" s="17">
        <v>10</v>
      </c>
      <c r="F1126" s="18">
        <f>125700+1000</f>
        <v>126700</v>
      </c>
      <c r="N1126" s="21"/>
      <c r="O1126" s="22"/>
    </row>
    <row r="1127" spans="1:15" s="10" customFormat="1" x14ac:dyDescent="0.25">
      <c r="A1127" s="16">
        <v>273</v>
      </c>
      <c r="B1127" s="16">
        <v>26</v>
      </c>
      <c r="C1127" s="16">
        <v>45</v>
      </c>
      <c r="D1127" s="16" t="s">
        <v>2</v>
      </c>
      <c r="E1127" s="17">
        <f>1.093-0.481</f>
        <v>0.61199999999999999</v>
      </c>
      <c r="F1127" s="18">
        <f>77700+1000</f>
        <v>78700</v>
      </c>
      <c r="N1127" s="21"/>
      <c r="O1127" s="22"/>
    </row>
    <row r="1128" spans="1:15" s="10" customFormat="1" x14ac:dyDescent="0.25">
      <c r="A1128" s="16">
        <v>273</v>
      </c>
      <c r="B1128" s="16">
        <v>26</v>
      </c>
      <c r="C1128" s="16">
        <v>45</v>
      </c>
      <c r="D1128" s="16" t="s">
        <v>85</v>
      </c>
      <c r="E1128" s="17">
        <f>10.247-3.312</f>
        <v>6.9350000000000005</v>
      </c>
      <c r="F1128" s="18">
        <f>77700+1000</f>
        <v>78700</v>
      </c>
      <c r="N1128" s="21"/>
      <c r="O1128" s="22"/>
    </row>
    <row r="1129" spans="1:15" s="10" customFormat="1" x14ac:dyDescent="0.25">
      <c r="A1129" s="16">
        <v>273</v>
      </c>
      <c r="B1129" s="16">
        <v>28</v>
      </c>
      <c r="C1129" s="16">
        <v>20</v>
      </c>
      <c r="D1129" s="16" t="s">
        <v>2</v>
      </c>
      <c r="E1129" s="17">
        <v>6.15</v>
      </c>
      <c r="F1129" s="18">
        <f>75700+1000</f>
        <v>76700</v>
      </c>
      <c r="N1129" s="21"/>
      <c r="O1129" s="22"/>
    </row>
    <row r="1130" spans="1:15" s="10" customFormat="1" x14ac:dyDescent="0.25">
      <c r="A1130" s="16">
        <v>273</v>
      </c>
      <c r="B1130" s="16">
        <v>28</v>
      </c>
      <c r="C1130" s="16">
        <v>20</v>
      </c>
      <c r="D1130" s="16" t="s">
        <v>85</v>
      </c>
      <c r="E1130" s="17">
        <v>12.33</v>
      </c>
      <c r="F1130" s="18">
        <f>75700+1000</f>
        <v>76700</v>
      </c>
      <c r="N1130" s="21"/>
      <c r="O1130" s="22"/>
    </row>
    <row r="1131" spans="1:15" s="10" customFormat="1" x14ac:dyDescent="0.25">
      <c r="A1131" s="16">
        <v>273</v>
      </c>
      <c r="B1131" s="16">
        <v>28</v>
      </c>
      <c r="C1131" s="16">
        <v>35</v>
      </c>
      <c r="D1131" s="16" t="s">
        <v>85</v>
      </c>
      <c r="E1131" s="17">
        <f>11.275-1.069</f>
        <v>10.206</v>
      </c>
      <c r="F1131" s="18">
        <f>77700+1000</f>
        <v>78700</v>
      </c>
      <c r="N1131" s="21"/>
      <c r="O1131" s="22"/>
    </row>
    <row r="1132" spans="1:15" s="10" customFormat="1" x14ac:dyDescent="0.25">
      <c r="A1132" s="16">
        <v>273</v>
      </c>
      <c r="B1132" s="16">
        <v>28</v>
      </c>
      <c r="C1132" s="16">
        <v>35</v>
      </c>
      <c r="D1132" s="16" t="s">
        <v>85</v>
      </c>
      <c r="E1132" s="17">
        <v>3.85</v>
      </c>
      <c r="F1132" s="18">
        <v>78700</v>
      </c>
      <c r="N1132" s="21"/>
      <c r="O1132" s="22"/>
    </row>
    <row r="1133" spans="1:15" s="10" customFormat="1" x14ac:dyDescent="0.25">
      <c r="A1133" s="16">
        <v>273</v>
      </c>
      <c r="B1133" s="16">
        <v>28</v>
      </c>
      <c r="C1133" s="16">
        <v>45</v>
      </c>
      <c r="D1133" s="16" t="s">
        <v>2</v>
      </c>
      <c r="E1133" s="17">
        <v>10</v>
      </c>
      <c r="F1133" s="18">
        <f>74700+3000+1000</f>
        <v>78700</v>
      </c>
      <c r="N1133" s="21"/>
      <c r="O1133" s="22"/>
    </row>
    <row r="1134" spans="1:15" s="10" customFormat="1" x14ac:dyDescent="0.25">
      <c r="A1134" s="16">
        <v>273</v>
      </c>
      <c r="B1134" s="16">
        <v>28</v>
      </c>
      <c r="C1134" s="16">
        <v>45</v>
      </c>
      <c r="D1134" s="16" t="s">
        <v>2</v>
      </c>
      <c r="E1134" s="17">
        <f>10.871-0.062-0.651-3.916-1.478-1.591</f>
        <v>3.1730000000000009</v>
      </c>
      <c r="F1134" s="18">
        <f>77700+1000</f>
        <v>78700</v>
      </c>
      <c r="N1134" s="21"/>
      <c r="O1134" s="22"/>
    </row>
    <row r="1135" spans="1:15" s="10" customFormat="1" x14ac:dyDescent="0.25">
      <c r="A1135" s="16">
        <v>273</v>
      </c>
      <c r="B1135" s="16">
        <v>28</v>
      </c>
      <c r="C1135" s="16" t="s">
        <v>0</v>
      </c>
      <c r="D1135" s="16" t="s">
        <v>2</v>
      </c>
      <c r="E1135" s="17">
        <v>6.1230000000000002</v>
      </c>
      <c r="F1135" s="18">
        <v>81700</v>
      </c>
      <c r="N1135" s="21"/>
      <c r="O1135" s="22"/>
    </row>
    <row r="1136" spans="1:15" s="10" customFormat="1" x14ac:dyDescent="0.25">
      <c r="A1136" s="16">
        <v>273</v>
      </c>
      <c r="B1136" s="16">
        <v>28</v>
      </c>
      <c r="C1136" s="16" t="s">
        <v>0</v>
      </c>
      <c r="D1136" s="16" t="s">
        <v>2</v>
      </c>
      <c r="E1136" s="17">
        <f>11.378-5.08</f>
        <v>6.298</v>
      </c>
      <c r="F1136" s="18">
        <v>81700</v>
      </c>
      <c r="N1136" s="21"/>
      <c r="O1136" s="22"/>
    </row>
    <row r="1137" spans="1:15" s="10" customFormat="1" x14ac:dyDescent="0.25">
      <c r="A1137" s="16">
        <v>273</v>
      </c>
      <c r="B1137" s="16">
        <v>28</v>
      </c>
      <c r="C1137" s="16" t="s">
        <v>0</v>
      </c>
      <c r="D1137" s="16" t="s">
        <v>2</v>
      </c>
      <c r="E1137" s="17">
        <f>3.97-2.117</f>
        <v>1.8530000000000002</v>
      </c>
      <c r="F1137" s="18">
        <f>75700+3000+1000</f>
        <v>79700</v>
      </c>
      <c r="N1137" s="21"/>
      <c r="O1137" s="22"/>
    </row>
    <row r="1138" spans="1:15" s="10" customFormat="1" x14ac:dyDescent="0.25">
      <c r="A1138" s="16">
        <v>273</v>
      </c>
      <c r="B1138" s="16">
        <v>30</v>
      </c>
      <c r="C1138" s="16">
        <v>45</v>
      </c>
      <c r="D1138" s="16" t="s">
        <v>2</v>
      </c>
      <c r="E1138" s="17">
        <f>10.212-1.995</f>
        <v>8.2169999999999987</v>
      </c>
      <c r="F1138" s="18">
        <f>77700+1000</f>
        <v>78700</v>
      </c>
      <c r="N1138" s="21"/>
      <c r="O1138" s="22"/>
    </row>
    <row r="1139" spans="1:15" s="10" customFormat="1" x14ac:dyDescent="0.25">
      <c r="A1139" s="16">
        <v>273</v>
      </c>
      <c r="B1139" s="16">
        <v>30</v>
      </c>
      <c r="C1139" s="16" t="s">
        <v>0</v>
      </c>
      <c r="D1139" s="16" t="s">
        <v>2</v>
      </c>
      <c r="E1139" s="17">
        <f>3.022-0.216-0.191-0.204-0.542</f>
        <v>1.8689999999999996</v>
      </c>
      <c r="F1139" s="18">
        <f>75700+3000+1000</f>
        <v>79700</v>
      </c>
      <c r="N1139" s="21"/>
      <c r="O1139" s="22"/>
    </row>
    <row r="1140" spans="1:15" s="10" customFormat="1" x14ac:dyDescent="0.25">
      <c r="A1140" s="16">
        <v>273</v>
      </c>
      <c r="B1140" s="16">
        <v>30</v>
      </c>
      <c r="C1140" s="16" t="s">
        <v>0</v>
      </c>
      <c r="D1140" s="16" t="s">
        <v>85</v>
      </c>
      <c r="E1140" s="17">
        <v>10.965</v>
      </c>
      <c r="F1140" s="18">
        <f>75700+3000+1000</f>
        <v>79700</v>
      </c>
      <c r="N1140" s="21"/>
      <c r="O1140" s="22"/>
    </row>
    <row r="1141" spans="1:15" s="10" customFormat="1" x14ac:dyDescent="0.25">
      <c r="A1141" s="16">
        <v>273</v>
      </c>
      <c r="B1141" s="16">
        <v>30</v>
      </c>
      <c r="C1141" s="16" t="s">
        <v>5</v>
      </c>
      <c r="D1141" s="16" t="s">
        <v>2</v>
      </c>
      <c r="E1141" s="17">
        <f>3.316-0.22</f>
        <v>3.0959999999999996</v>
      </c>
      <c r="F1141" s="18">
        <f>135700+1000</f>
        <v>136700</v>
      </c>
      <c r="N1141" s="21"/>
      <c r="O1141" s="22"/>
    </row>
    <row r="1142" spans="1:15" s="10" customFormat="1" x14ac:dyDescent="0.25">
      <c r="A1142" s="16">
        <v>273</v>
      </c>
      <c r="B1142" s="16">
        <v>32</v>
      </c>
      <c r="C1142" s="16" t="s">
        <v>3</v>
      </c>
      <c r="D1142" s="16" t="s">
        <v>4</v>
      </c>
      <c r="E1142" s="17">
        <f>2.563-0.23</f>
        <v>2.3330000000000002</v>
      </c>
      <c r="F1142" s="18">
        <v>200000</v>
      </c>
      <c r="N1142" s="21"/>
      <c r="O1142" s="22"/>
    </row>
    <row r="1143" spans="1:15" s="10" customFormat="1" x14ac:dyDescent="0.25">
      <c r="A1143" s="16">
        <v>273</v>
      </c>
      <c r="B1143" s="16">
        <v>32</v>
      </c>
      <c r="C1143" s="16" t="s">
        <v>5</v>
      </c>
      <c r="D1143" s="16" t="s">
        <v>2</v>
      </c>
      <c r="E1143" s="17">
        <f>7.955-1.427-3.247-0.41-0.441</f>
        <v>2.4300000000000006</v>
      </c>
      <c r="F1143" s="18">
        <v>200000</v>
      </c>
      <c r="N1143" s="21"/>
      <c r="O1143" s="22"/>
    </row>
    <row r="1144" spans="1:15" s="10" customFormat="1" x14ac:dyDescent="0.25">
      <c r="A1144" s="16">
        <v>273</v>
      </c>
      <c r="B1144" s="16">
        <v>32</v>
      </c>
      <c r="C1144" s="16" t="s">
        <v>5</v>
      </c>
      <c r="D1144" s="16" t="s">
        <v>2</v>
      </c>
      <c r="E1144" s="17">
        <v>5.8230000000000004</v>
      </c>
      <c r="F1144" s="18">
        <v>200000</v>
      </c>
      <c r="N1144" s="21"/>
      <c r="O1144" s="22"/>
    </row>
    <row r="1145" spans="1:15" s="10" customFormat="1" x14ac:dyDescent="0.25">
      <c r="A1145" s="16">
        <v>273</v>
      </c>
      <c r="B1145" s="16">
        <v>32</v>
      </c>
      <c r="C1145" s="16" t="s">
        <v>5</v>
      </c>
      <c r="D1145" s="16" t="s">
        <v>2</v>
      </c>
      <c r="E1145" s="17">
        <v>1.91</v>
      </c>
      <c r="F1145" s="18">
        <v>200000</v>
      </c>
      <c r="N1145" s="21"/>
      <c r="O1145" s="22"/>
    </row>
    <row r="1146" spans="1:15" s="10" customFormat="1" x14ac:dyDescent="0.25">
      <c r="A1146" s="16">
        <v>273</v>
      </c>
      <c r="B1146" s="16">
        <v>36</v>
      </c>
      <c r="C1146" s="16">
        <v>20</v>
      </c>
      <c r="D1146" s="16" t="s">
        <v>2</v>
      </c>
      <c r="E1146" s="17">
        <f>10.531-2.023-4.152-2.151+0.002-0.13-0.117+0.117-0.116-0.151+0.027-0.145-0.13-0.173</f>
        <v>1.3890000000000007</v>
      </c>
      <c r="F1146" s="18">
        <f>89700+3000+1000</f>
        <v>93700</v>
      </c>
      <c r="N1146" s="21"/>
      <c r="O1146" s="22"/>
    </row>
    <row r="1147" spans="1:15" s="10" customFormat="1" x14ac:dyDescent="0.25">
      <c r="A1147" s="16">
        <v>273</v>
      </c>
      <c r="B1147" s="16">
        <v>36</v>
      </c>
      <c r="C1147" s="16">
        <v>20</v>
      </c>
      <c r="D1147" s="16" t="s">
        <v>2</v>
      </c>
      <c r="E1147" s="17">
        <f>9.656-1.399-1.635-1.718</f>
        <v>4.9040000000000017</v>
      </c>
      <c r="F1147" s="18">
        <f>89700+3000+1000</f>
        <v>93700</v>
      </c>
      <c r="N1147" s="21"/>
      <c r="O1147" s="22"/>
    </row>
    <row r="1148" spans="1:15" s="10" customFormat="1" x14ac:dyDescent="0.25">
      <c r="A1148" s="16">
        <v>273</v>
      </c>
      <c r="B1148" s="16">
        <v>36</v>
      </c>
      <c r="C1148" s="16">
        <v>35</v>
      </c>
      <c r="D1148" s="16" t="s">
        <v>85</v>
      </c>
      <c r="E1148" s="17">
        <v>15</v>
      </c>
      <c r="F1148" s="18">
        <v>95700</v>
      </c>
      <c r="N1148" s="21"/>
      <c r="O1148" s="22"/>
    </row>
    <row r="1149" spans="1:15" s="10" customFormat="1" x14ac:dyDescent="0.25">
      <c r="A1149" s="16">
        <v>273</v>
      </c>
      <c r="B1149" s="16">
        <v>36</v>
      </c>
      <c r="C1149" s="16">
        <v>45</v>
      </c>
      <c r="D1149" s="16" t="s">
        <v>2</v>
      </c>
      <c r="E1149" s="17">
        <f>10.305-0.255</f>
        <v>10.049999999999999</v>
      </c>
      <c r="F1149" s="18">
        <f>91700+3000+1000</f>
        <v>95700</v>
      </c>
      <c r="N1149" s="21"/>
      <c r="O1149" s="22"/>
    </row>
    <row r="1150" spans="1:15" s="10" customFormat="1" x14ac:dyDescent="0.25">
      <c r="A1150" s="16">
        <v>273</v>
      </c>
      <c r="B1150" s="16">
        <v>36</v>
      </c>
      <c r="C1150" s="16">
        <v>45</v>
      </c>
      <c r="D1150" s="16" t="s">
        <v>2</v>
      </c>
      <c r="E1150" s="17">
        <v>10.743</v>
      </c>
      <c r="F1150" s="18">
        <f>94700+1000</f>
        <v>95700</v>
      </c>
      <c r="N1150" s="21"/>
      <c r="O1150" s="22"/>
    </row>
    <row r="1151" spans="1:15" s="10" customFormat="1" x14ac:dyDescent="0.25">
      <c r="A1151" s="16">
        <v>273</v>
      </c>
      <c r="B1151" s="16">
        <v>36</v>
      </c>
      <c r="C1151" s="16" t="s">
        <v>5</v>
      </c>
      <c r="D1151" s="16" t="s">
        <v>2</v>
      </c>
      <c r="E1151" s="17">
        <f>8.511-1.726-1.733</f>
        <v>5.0519999999999996</v>
      </c>
      <c r="F1151" s="18">
        <v>200000</v>
      </c>
      <c r="N1151" s="21"/>
      <c r="O1151" s="22"/>
    </row>
    <row r="1152" spans="1:15" s="10" customFormat="1" x14ac:dyDescent="0.25">
      <c r="A1152" s="16">
        <v>273</v>
      </c>
      <c r="B1152" s="16">
        <v>36</v>
      </c>
      <c r="C1152" s="16" t="s">
        <v>5</v>
      </c>
      <c r="D1152" s="16" t="s">
        <v>2</v>
      </c>
      <c r="E1152" s="17">
        <v>40.682000000000002</v>
      </c>
      <c r="F1152" s="18">
        <v>200000</v>
      </c>
      <c r="N1152" s="21"/>
      <c r="O1152" s="22"/>
    </row>
    <row r="1153" spans="1:15" s="10" customFormat="1" x14ac:dyDescent="0.25">
      <c r="A1153" s="16">
        <v>273</v>
      </c>
      <c r="B1153" s="16">
        <v>36</v>
      </c>
      <c r="C1153" s="16" t="s">
        <v>5</v>
      </c>
      <c r="D1153" s="16" t="s">
        <v>2</v>
      </c>
      <c r="E1153" s="17">
        <v>19.042999999999999</v>
      </c>
      <c r="F1153" s="18">
        <v>200000</v>
      </c>
      <c r="N1153" s="21"/>
      <c r="O1153" s="22"/>
    </row>
    <row r="1154" spans="1:15" s="10" customFormat="1" x14ac:dyDescent="0.25">
      <c r="A1154" s="16">
        <v>273</v>
      </c>
      <c r="B1154" s="16">
        <v>36</v>
      </c>
      <c r="C1154" s="16" t="s">
        <v>5</v>
      </c>
      <c r="D1154" s="16" t="s">
        <v>2</v>
      </c>
      <c r="E1154" s="17">
        <v>1.9950000000000001</v>
      </c>
      <c r="F1154" s="18">
        <v>200000</v>
      </c>
      <c r="N1154" s="21"/>
      <c r="O1154" s="22"/>
    </row>
    <row r="1155" spans="1:15" s="10" customFormat="1" x14ac:dyDescent="0.25">
      <c r="A1155" s="16">
        <v>273</v>
      </c>
      <c r="B1155" s="16">
        <v>40</v>
      </c>
      <c r="C1155" s="16">
        <v>20</v>
      </c>
      <c r="D1155" s="16" t="s">
        <v>2</v>
      </c>
      <c r="E1155" s="17">
        <f>10.425-0.138-6.148</f>
        <v>4.1390000000000011</v>
      </c>
      <c r="F1155" s="18">
        <f>89700+3000+1000</f>
        <v>93700</v>
      </c>
      <c r="N1155" s="21"/>
      <c r="O1155" s="22"/>
    </row>
    <row r="1156" spans="1:15" s="10" customFormat="1" x14ac:dyDescent="0.25">
      <c r="A1156" s="16">
        <v>273</v>
      </c>
      <c r="B1156" s="16">
        <v>40</v>
      </c>
      <c r="C1156" s="16">
        <v>20</v>
      </c>
      <c r="D1156" s="16" t="s">
        <v>85</v>
      </c>
      <c r="E1156" s="17">
        <v>10.464</v>
      </c>
      <c r="F1156" s="18">
        <f>92700+1000</f>
        <v>93700</v>
      </c>
      <c r="N1156" s="21"/>
      <c r="O1156" s="22"/>
    </row>
    <row r="1157" spans="1:15" s="10" customFormat="1" x14ac:dyDescent="0.25">
      <c r="A1157" s="16">
        <v>273</v>
      </c>
      <c r="B1157" s="16">
        <v>40</v>
      </c>
      <c r="C1157" s="16">
        <v>20</v>
      </c>
      <c r="D1157" s="16" t="s">
        <v>85</v>
      </c>
      <c r="E1157" s="17">
        <v>1.978</v>
      </c>
      <c r="F1157" s="18">
        <f>92700+1000</f>
        <v>93700</v>
      </c>
      <c r="N1157" s="21"/>
      <c r="O1157" s="22"/>
    </row>
    <row r="1158" spans="1:15" s="10" customFormat="1" x14ac:dyDescent="0.25">
      <c r="A1158" s="16">
        <v>273</v>
      </c>
      <c r="B1158" s="16">
        <v>40</v>
      </c>
      <c r="C1158" s="16" t="s">
        <v>0</v>
      </c>
      <c r="D1158" s="16" t="s">
        <v>2</v>
      </c>
      <c r="E1158" s="17">
        <f>10.42-0.583-4.402-0.575-0.65</f>
        <v>4.2099999999999991</v>
      </c>
      <c r="F1158" s="18">
        <f>93700+3000+1000</f>
        <v>97700</v>
      </c>
      <c r="N1158" s="21"/>
      <c r="O1158" s="22"/>
    </row>
    <row r="1159" spans="1:15" s="10" customFormat="1" x14ac:dyDescent="0.25">
      <c r="A1159" s="16">
        <v>273</v>
      </c>
      <c r="B1159" s="16">
        <v>40</v>
      </c>
      <c r="C1159" s="16" t="s">
        <v>5</v>
      </c>
      <c r="D1159" s="16" t="s">
        <v>2</v>
      </c>
      <c r="E1159" s="17">
        <v>10.317</v>
      </c>
      <c r="F1159" s="18">
        <v>200000</v>
      </c>
      <c r="N1159" s="21"/>
      <c r="O1159" s="22"/>
    </row>
    <row r="1160" spans="1:15" s="10" customFormat="1" x14ac:dyDescent="0.25">
      <c r="A1160" s="16">
        <v>273</v>
      </c>
      <c r="B1160" s="16">
        <v>40</v>
      </c>
      <c r="C1160" s="16" t="s">
        <v>5</v>
      </c>
      <c r="D1160" s="16" t="s">
        <v>2</v>
      </c>
      <c r="E1160" s="17">
        <f>11-0.461-1.154-0.543-0.492+0.737-0.495-0.236-0.872</f>
        <v>7.4840000000000018</v>
      </c>
      <c r="F1160" s="18">
        <v>200000</v>
      </c>
      <c r="N1160" s="21"/>
      <c r="O1160" s="22"/>
    </row>
    <row r="1161" spans="1:15" s="10" customFormat="1" x14ac:dyDescent="0.25">
      <c r="A1161" s="16">
        <v>273</v>
      </c>
      <c r="B1161" s="20">
        <v>42</v>
      </c>
      <c r="C1161" s="16">
        <v>20</v>
      </c>
      <c r="D1161" s="16" t="s">
        <v>2</v>
      </c>
      <c r="E1161" s="17">
        <v>0.312</v>
      </c>
      <c r="F1161" s="18">
        <f>92700+1000</f>
        <v>93700</v>
      </c>
      <c r="N1161" s="21"/>
      <c r="O1161" s="22"/>
    </row>
    <row r="1162" spans="1:15" s="10" customFormat="1" x14ac:dyDescent="0.25">
      <c r="A1162" s="16">
        <v>273</v>
      </c>
      <c r="B1162" s="16">
        <v>45</v>
      </c>
      <c r="C1162" s="16">
        <v>35</v>
      </c>
      <c r="D1162" s="16" t="s">
        <v>2</v>
      </c>
      <c r="E1162" s="17">
        <f>9.88-1.926-2.046-1.944</f>
        <v>3.9640000000000013</v>
      </c>
      <c r="F1162" s="18">
        <f>91700+3000+1000</f>
        <v>95700</v>
      </c>
      <c r="N1162" s="21"/>
      <c r="O1162" s="22"/>
    </row>
    <row r="1163" spans="1:15" s="10" customFormat="1" x14ac:dyDescent="0.25">
      <c r="A1163" s="16">
        <v>273</v>
      </c>
      <c r="B1163" s="16">
        <v>45</v>
      </c>
      <c r="C1163" s="16">
        <v>35</v>
      </c>
      <c r="D1163" s="16" t="s">
        <v>85</v>
      </c>
      <c r="E1163" s="17">
        <v>10</v>
      </c>
      <c r="F1163" s="18">
        <v>95700</v>
      </c>
      <c r="N1163" s="21"/>
      <c r="O1163" s="22"/>
    </row>
    <row r="1164" spans="1:15" s="10" customFormat="1" x14ac:dyDescent="0.25">
      <c r="A1164" s="16">
        <v>273</v>
      </c>
      <c r="B1164" s="16">
        <v>45</v>
      </c>
      <c r="C1164" s="16">
        <v>45</v>
      </c>
      <c r="D1164" s="16" t="s">
        <v>2</v>
      </c>
      <c r="E1164" s="17">
        <f>11.745-0.085-0.425-1.726+0.001-2.38</f>
        <v>7.1299999999999963</v>
      </c>
      <c r="F1164" s="18">
        <f>94700+1000</f>
        <v>95700</v>
      </c>
      <c r="N1164" s="21"/>
      <c r="O1164" s="22"/>
    </row>
    <row r="1165" spans="1:15" s="10" customFormat="1" x14ac:dyDescent="0.25">
      <c r="A1165" s="16">
        <v>273</v>
      </c>
      <c r="B1165" s="16">
        <v>45</v>
      </c>
      <c r="C1165" s="16" t="s">
        <v>0</v>
      </c>
      <c r="D1165" s="16" t="s">
        <v>2</v>
      </c>
      <c r="E1165" s="17">
        <f>14.41-1.29-1.677-1.667-1.652-1.682-3.242+0.006-1.636</f>
        <v>1.5700000000000018</v>
      </c>
      <c r="F1165" s="18">
        <f>93700+3000+1000</f>
        <v>97700</v>
      </c>
      <c r="N1165" s="21"/>
      <c r="O1165" s="22"/>
    </row>
    <row r="1166" spans="1:15" s="10" customFormat="1" x14ac:dyDescent="0.25">
      <c r="A1166" s="16">
        <v>273</v>
      </c>
      <c r="B1166" s="16">
        <v>45</v>
      </c>
      <c r="C1166" s="16" t="s">
        <v>0</v>
      </c>
      <c r="D1166" s="16" t="s">
        <v>2</v>
      </c>
      <c r="E1166" s="17">
        <v>9.9420000000000002</v>
      </c>
      <c r="F1166" s="18">
        <f>93700+3000+1000</f>
        <v>97700</v>
      </c>
      <c r="N1166" s="21"/>
      <c r="O1166" s="22"/>
    </row>
    <row r="1167" spans="1:15" s="10" customFormat="1" x14ac:dyDescent="0.25">
      <c r="A1167" s="16">
        <v>273</v>
      </c>
      <c r="B1167" s="16">
        <v>50</v>
      </c>
      <c r="C1167" s="16">
        <v>20</v>
      </c>
      <c r="D1167" s="16" t="s">
        <v>2</v>
      </c>
      <c r="E1167" s="17">
        <f>4.189-2.088</f>
        <v>2.101</v>
      </c>
      <c r="F1167" s="18">
        <f>89700+3000+1000</f>
        <v>93700</v>
      </c>
      <c r="N1167" s="21"/>
      <c r="O1167" s="22"/>
    </row>
    <row r="1168" spans="1:15" s="10" customFormat="1" x14ac:dyDescent="0.25">
      <c r="A1168" s="16">
        <v>273</v>
      </c>
      <c r="B1168" s="16">
        <v>50</v>
      </c>
      <c r="C1168" s="16">
        <v>20</v>
      </c>
      <c r="D1168" s="16" t="s">
        <v>2</v>
      </c>
      <c r="E1168" s="17">
        <f>8.622-1.235-0.125-0.057-0.119-0.397-0.608-0.201-1.505-2.78-0.242-0.342-0.24-0.204</f>
        <v>0.56700000000000017</v>
      </c>
      <c r="F1168" s="18">
        <f>89700+3000+1000</f>
        <v>93700</v>
      </c>
      <c r="N1168" s="21"/>
      <c r="O1168" s="22"/>
    </row>
    <row r="1169" spans="1:15" s="10" customFormat="1" x14ac:dyDescent="0.25">
      <c r="A1169" s="16">
        <v>273</v>
      </c>
      <c r="B1169" s="16">
        <v>50</v>
      </c>
      <c r="C1169" s="16">
        <v>35</v>
      </c>
      <c r="D1169" s="16" t="s">
        <v>2</v>
      </c>
      <c r="E1169" s="17">
        <f>7.644-3.124-0.501-0.289-0.303-0.487</f>
        <v>2.9399999999999991</v>
      </c>
      <c r="F1169" s="18">
        <f>91700+3000+1000</f>
        <v>95700</v>
      </c>
      <c r="N1169" s="21"/>
      <c r="O1169" s="22"/>
    </row>
    <row r="1170" spans="1:15" s="10" customFormat="1" x14ac:dyDescent="0.25">
      <c r="A1170" s="16">
        <v>273</v>
      </c>
      <c r="B1170" s="16">
        <v>50</v>
      </c>
      <c r="C1170" s="16">
        <v>35</v>
      </c>
      <c r="D1170" s="16" t="s">
        <v>85</v>
      </c>
      <c r="E1170" s="17">
        <f>9.415-2.325</f>
        <v>7.089999999999999</v>
      </c>
      <c r="F1170" s="18">
        <f>94700+1000</f>
        <v>95700</v>
      </c>
      <c r="N1170" s="21"/>
      <c r="O1170" s="22"/>
    </row>
    <row r="1171" spans="1:15" s="10" customFormat="1" x14ac:dyDescent="0.25">
      <c r="A1171" s="16">
        <v>273</v>
      </c>
      <c r="B1171" s="16">
        <v>50</v>
      </c>
      <c r="C1171" s="16">
        <v>45</v>
      </c>
      <c r="D1171" s="16" t="s">
        <v>85</v>
      </c>
      <c r="E1171" s="17">
        <v>20.149000000000001</v>
      </c>
      <c r="F1171" s="18">
        <f>94700+1000</f>
        <v>95700</v>
      </c>
      <c r="N1171" s="21"/>
      <c r="O1171" s="22"/>
    </row>
    <row r="1172" spans="1:15" s="10" customFormat="1" x14ac:dyDescent="0.25">
      <c r="A1172" s="16">
        <v>273</v>
      </c>
      <c r="B1172" s="16">
        <v>50</v>
      </c>
      <c r="C1172" s="16" t="s">
        <v>5</v>
      </c>
      <c r="D1172" s="16" t="s">
        <v>2</v>
      </c>
      <c r="E1172" s="17">
        <v>10.48</v>
      </c>
      <c r="F1172" s="18">
        <v>200000</v>
      </c>
      <c r="N1172" s="21"/>
      <c r="O1172" s="22"/>
    </row>
    <row r="1173" spans="1:15" s="10" customFormat="1" x14ac:dyDescent="0.25">
      <c r="A1173" s="16">
        <v>299</v>
      </c>
      <c r="B1173" s="16">
        <v>8</v>
      </c>
      <c r="C1173" s="16">
        <v>20</v>
      </c>
      <c r="D1173" s="16" t="s">
        <v>2</v>
      </c>
      <c r="E1173" s="17">
        <f>10.921-2-0.147-0.633-0.587-0.066-1.188-0.123-0.615-0.618</f>
        <v>4.9439999999999982</v>
      </c>
      <c r="F1173" s="18">
        <f>72700+3000+1000</f>
        <v>76700</v>
      </c>
      <c r="N1173" s="21"/>
      <c r="O1173" s="22"/>
    </row>
    <row r="1174" spans="1:15" s="10" customFormat="1" x14ac:dyDescent="0.25">
      <c r="A1174" s="16">
        <v>299</v>
      </c>
      <c r="B1174" s="16">
        <v>11</v>
      </c>
      <c r="C1174" s="16">
        <v>45</v>
      </c>
      <c r="D1174" s="16" t="s">
        <v>2</v>
      </c>
      <c r="E1174" s="17">
        <f>1.102-0.523-0.093</f>
        <v>0.4860000000000001</v>
      </c>
      <c r="F1174" s="18">
        <v>78700</v>
      </c>
      <c r="N1174" s="21"/>
      <c r="O1174" s="22"/>
    </row>
    <row r="1175" spans="1:15" s="10" customFormat="1" x14ac:dyDescent="0.25">
      <c r="A1175" s="16">
        <v>299</v>
      </c>
      <c r="B1175" s="16">
        <v>16</v>
      </c>
      <c r="C1175" s="16">
        <v>20</v>
      </c>
      <c r="D1175" s="16" t="s">
        <v>2</v>
      </c>
      <c r="E1175" s="17">
        <v>5.3049999999999997</v>
      </c>
      <c r="F1175" s="18">
        <f>72700+3000+1000</f>
        <v>76700</v>
      </c>
      <c r="N1175" s="21"/>
      <c r="O1175" s="22"/>
    </row>
    <row r="1176" spans="1:15" s="10" customFormat="1" x14ac:dyDescent="0.25">
      <c r="A1176" s="16">
        <v>299</v>
      </c>
      <c r="B1176" s="16">
        <v>20</v>
      </c>
      <c r="C1176" s="16">
        <v>20</v>
      </c>
      <c r="D1176" s="16" t="s">
        <v>2</v>
      </c>
      <c r="E1176" s="17">
        <v>3.1320000000000001</v>
      </c>
      <c r="F1176" s="18">
        <f>72700+3000+1000</f>
        <v>76700</v>
      </c>
      <c r="N1176" s="21"/>
      <c r="O1176" s="22"/>
    </row>
    <row r="1177" spans="1:15" s="10" customFormat="1" x14ac:dyDescent="0.25">
      <c r="A1177" s="16">
        <v>299</v>
      </c>
      <c r="B1177" s="16">
        <v>20</v>
      </c>
      <c r="C1177" s="16" t="s">
        <v>0</v>
      </c>
      <c r="D1177" s="16" t="s">
        <v>2</v>
      </c>
      <c r="E1177" s="17">
        <v>4.2590000000000003</v>
      </c>
      <c r="F1177" s="18">
        <f>75700+3000+1000</f>
        <v>79700</v>
      </c>
      <c r="N1177" s="21"/>
      <c r="O1177" s="22"/>
    </row>
    <row r="1178" spans="1:15" s="10" customFormat="1" x14ac:dyDescent="0.25">
      <c r="A1178" s="16">
        <v>299</v>
      </c>
      <c r="B1178" s="16">
        <v>20</v>
      </c>
      <c r="C1178" s="16" t="s">
        <v>0</v>
      </c>
      <c r="D1178" s="16" t="s">
        <v>85</v>
      </c>
      <c r="E1178" s="17">
        <v>10</v>
      </c>
      <c r="F1178" s="18">
        <v>79700</v>
      </c>
      <c r="N1178" s="21"/>
      <c r="O1178" s="22"/>
    </row>
    <row r="1179" spans="1:15" s="10" customFormat="1" x14ac:dyDescent="0.25">
      <c r="A1179" s="16">
        <v>299</v>
      </c>
      <c r="B1179" s="16">
        <v>25</v>
      </c>
      <c r="C1179" s="16">
        <v>20</v>
      </c>
      <c r="D1179" s="16" t="s">
        <v>2</v>
      </c>
      <c r="E1179" s="17">
        <v>1.764</v>
      </c>
      <c r="F1179" s="18">
        <f>72700+3000+1000</f>
        <v>76700</v>
      </c>
      <c r="N1179" s="21"/>
      <c r="O1179" s="22"/>
    </row>
    <row r="1180" spans="1:15" s="10" customFormat="1" x14ac:dyDescent="0.25">
      <c r="A1180" s="16">
        <v>299</v>
      </c>
      <c r="B1180" s="16">
        <v>25</v>
      </c>
      <c r="C1180" s="16" t="s">
        <v>5</v>
      </c>
      <c r="D1180" s="16" t="s">
        <v>2</v>
      </c>
      <c r="E1180" s="17">
        <f>3.98-0.228-0.22</f>
        <v>3.5319999999999996</v>
      </c>
      <c r="F1180" s="18">
        <f>125700+1000</f>
        <v>126700</v>
      </c>
      <c r="N1180" s="21"/>
      <c r="O1180" s="22"/>
    </row>
    <row r="1181" spans="1:15" s="10" customFormat="1" x14ac:dyDescent="0.25">
      <c r="A1181" s="16">
        <v>299</v>
      </c>
      <c r="B1181" s="16">
        <v>25</v>
      </c>
      <c r="C1181" s="16" t="s">
        <v>5</v>
      </c>
      <c r="D1181" s="16" t="s">
        <v>2</v>
      </c>
      <c r="E1181" s="17">
        <v>2.0449999999999999</v>
      </c>
      <c r="F1181" s="18">
        <f>125700+1000</f>
        <v>126700</v>
      </c>
      <c r="N1181" s="21"/>
      <c r="O1181" s="22"/>
    </row>
    <row r="1182" spans="1:15" s="10" customFormat="1" x14ac:dyDescent="0.25">
      <c r="A1182" s="16">
        <v>299</v>
      </c>
      <c r="B1182" s="16">
        <v>30</v>
      </c>
      <c r="C1182" s="16" t="s">
        <v>30</v>
      </c>
      <c r="D1182" s="16" t="s">
        <v>2</v>
      </c>
      <c r="E1182" s="17">
        <f>1.8-0.73</f>
        <v>1.07</v>
      </c>
      <c r="F1182" s="18">
        <f>89700+1000</f>
        <v>90700</v>
      </c>
      <c r="N1182" s="21"/>
      <c r="O1182" s="22"/>
    </row>
    <row r="1183" spans="1:15" s="10" customFormat="1" x14ac:dyDescent="0.25">
      <c r="A1183" s="16">
        <v>299</v>
      </c>
      <c r="B1183" s="16">
        <v>30</v>
      </c>
      <c r="C1183" s="16">
        <v>20</v>
      </c>
      <c r="D1183" s="16" t="s">
        <v>2</v>
      </c>
      <c r="E1183" s="17">
        <f>1.141-0.856</f>
        <v>0.28500000000000003</v>
      </c>
      <c r="F1183" s="18">
        <f>72700+3000+1000</f>
        <v>76700</v>
      </c>
      <c r="N1183" s="21"/>
      <c r="O1183" s="22"/>
    </row>
    <row r="1184" spans="1:15" s="10" customFormat="1" x14ac:dyDescent="0.25">
      <c r="A1184" s="16">
        <v>299</v>
      </c>
      <c r="B1184" s="16">
        <v>30</v>
      </c>
      <c r="C1184" s="16">
        <v>20</v>
      </c>
      <c r="D1184" s="16" t="s">
        <v>85</v>
      </c>
      <c r="E1184" s="17">
        <v>10.859</v>
      </c>
      <c r="F1184" s="18">
        <f>75700+1000</f>
        <v>76700</v>
      </c>
      <c r="N1184" s="21"/>
      <c r="O1184" s="22"/>
    </row>
    <row r="1185" spans="1:15" s="10" customFormat="1" x14ac:dyDescent="0.25">
      <c r="A1185" s="16">
        <v>299</v>
      </c>
      <c r="B1185" s="16">
        <v>32</v>
      </c>
      <c r="C1185" s="16">
        <v>10</v>
      </c>
      <c r="D1185" s="16" t="s">
        <v>2</v>
      </c>
      <c r="E1185" s="17">
        <f>1.435-0.275</f>
        <v>1.1600000000000001</v>
      </c>
      <c r="F1185" s="18">
        <f>89700+3000+1000</f>
        <v>93700</v>
      </c>
      <c r="N1185" s="21"/>
      <c r="O1185" s="22"/>
    </row>
    <row r="1186" spans="1:15" s="10" customFormat="1" x14ac:dyDescent="0.25">
      <c r="A1186" s="16">
        <v>299</v>
      </c>
      <c r="B1186" s="16">
        <v>32</v>
      </c>
      <c r="C1186" s="16" t="s">
        <v>0</v>
      </c>
      <c r="D1186" s="16" t="s">
        <v>2</v>
      </c>
      <c r="E1186" s="17">
        <f>10.647-0.218-1.815-0.681</f>
        <v>7.9330000000000007</v>
      </c>
      <c r="F1186" s="18">
        <f>93700+3000+1000</f>
        <v>97700</v>
      </c>
      <c r="N1186" s="21"/>
      <c r="O1186" s="22"/>
    </row>
    <row r="1187" spans="1:15" s="10" customFormat="1" x14ac:dyDescent="0.25">
      <c r="A1187" s="16">
        <v>299</v>
      </c>
      <c r="B1187" s="16">
        <v>32</v>
      </c>
      <c r="C1187" s="16" t="s">
        <v>30</v>
      </c>
      <c r="D1187" s="16" t="s">
        <v>2</v>
      </c>
      <c r="E1187" s="17">
        <f>1.864-0.091</f>
        <v>1.7730000000000001</v>
      </c>
      <c r="F1187" s="18">
        <f>99700+1000</f>
        <v>100700</v>
      </c>
      <c r="N1187" s="21"/>
      <c r="O1187" s="22"/>
    </row>
    <row r="1188" spans="1:15" s="10" customFormat="1" x14ac:dyDescent="0.25">
      <c r="A1188" s="16">
        <v>299</v>
      </c>
      <c r="B1188" s="16">
        <v>32</v>
      </c>
      <c r="C1188" s="16" t="s">
        <v>5</v>
      </c>
      <c r="D1188" s="16" t="s">
        <v>2</v>
      </c>
      <c r="E1188" s="17">
        <v>10</v>
      </c>
      <c r="F1188" s="18">
        <v>200000</v>
      </c>
      <c r="N1188" s="21"/>
      <c r="O1188" s="22"/>
    </row>
    <row r="1189" spans="1:15" s="10" customFormat="1" x14ac:dyDescent="0.25">
      <c r="A1189" s="16">
        <v>299</v>
      </c>
      <c r="B1189" s="16">
        <v>36</v>
      </c>
      <c r="C1189" s="16">
        <v>20</v>
      </c>
      <c r="D1189" s="16" t="s">
        <v>2</v>
      </c>
      <c r="E1189" s="17">
        <f>20.326-2.227-2.391-0.961</f>
        <v>14.747</v>
      </c>
      <c r="F1189" s="18">
        <f>89700+3000+1000</f>
        <v>93700</v>
      </c>
      <c r="N1189" s="21"/>
      <c r="O1189" s="22"/>
    </row>
    <row r="1190" spans="1:15" s="10" customFormat="1" x14ac:dyDescent="0.25">
      <c r="A1190" s="16">
        <v>299</v>
      </c>
      <c r="B1190" s="16">
        <v>36</v>
      </c>
      <c r="C1190" s="16">
        <v>20</v>
      </c>
      <c r="D1190" s="16" t="s">
        <v>2</v>
      </c>
      <c r="E1190" s="17">
        <v>2.04</v>
      </c>
      <c r="F1190" s="18">
        <f>92700+1000</f>
        <v>93700</v>
      </c>
      <c r="N1190" s="21"/>
      <c r="O1190" s="22"/>
    </row>
    <row r="1191" spans="1:15" s="10" customFormat="1" x14ac:dyDescent="0.25">
      <c r="A1191" s="16">
        <v>299</v>
      </c>
      <c r="B1191" s="16">
        <v>36</v>
      </c>
      <c r="C1191" s="16">
        <v>35</v>
      </c>
      <c r="D1191" s="16" t="s">
        <v>2</v>
      </c>
      <c r="E1191" s="17">
        <f>2.188-0.373+0.016-0.141-0.49-0.187</f>
        <v>1.0130000000000001</v>
      </c>
      <c r="F1191" s="18">
        <f>91700+3000+1000</f>
        <v>95700</v>
      </c>
      <c r="N1191" s="21"/>
      <c r="O1191" s="22"/>
    </row>
    <row r="1192" spans="1:15" s="10" customFormat="1" x14ac:dyDescent="0.25">
      <c r="A1192" s="16">
        <v>299</v>
      </c>
      <c r="B1192" s="16">
        <v>36</v>
      </c>
      <c r="C1192" s="16">
        <v>35</v>
      </c>
      <c r="D1192" s="16" t="s">
        <v>2</v>
      </c>
      <c r="E1192" s="17">
        <f>11.624-0.852-7.456</f>
        <v>3.3159999999999998</v>
      </c>
      <c r="F1192" s="18">
        <f>91700+3000+1000</f>
        <v>95700</v>
      </c>
      <c r="N1192" s="21"/>
      <c r="O1192" s="22"/>
    </row>
    <row r="1193" spans="1:15" s="10" customFormat="1" x14ac:dyDescent="0.25">
      <c r="A1193" s="16">
        <v>299</v>
      </c>
      <c r="B1193" s="16">
        <v>36</v>
      </c>
      <c r="C1193" s="16">
        <v>45</v>
      </c>
      <c r="D1193" s="16" t="s">
        <v>2</v>
      </c>
      <c r="E1193" s="17">
        <f>11.962-9.586+0.001</f>
        <v>2.3769999999999993</v>
      </c>
      <c r="F1193" s="18">
        <f>91700+3000+1000</f>
        <v>95700</v>
      </c>
      <c r="N1193" s="21"/>
      <c r="O1193" s="22"/>
    </row>
    <row r="1194" spans="1:15" s="10" customFormat="1" x14ac:dyDescent="0.25">
      <c r="A1194" s="16">
        <v>299</v>
      </c>
      <c r="B1194" s="16">
        <v>36</v>
      </c>
      <c r="C1194" s="16">
        <v>45</v>
      </c>
      <c r="D1194" s="16" t="s">
        <v>2</v>
      </c>
      <c r="E1194" s="17">
        <f>11.541-0.128-0.246-1.839-2.213</f>
        <v>7.1149999999999993</v>
      </c>
      <c r="F1194" s="18">
        <f>91700+3000+1000</f>
        <v>95700</v>
      </c>
      <c r="N1194" s="21"/>
      <c r="O1194" s="22"/>
    </row>
    <row r="1195" spans="1:15" s="10" customFormat="1" x14ac:dyDescent="0.25">
      <c r="A1195" s="16">
        <v>299</v>
      </c>
      <c r="B1195" s="16">
        <v>36</v>
      </c>
      <c r="C1195" s="16">
        <v>45</v>
      </c>
      <c r="D1195" s="16" t="s">
        <v>2</v>
      </c>
      <c r="E1195" s="17">
        <f>11.058-0.143-2.178-2.202</f>
        <v>6.5349999999999984</v>
      </c>
      <c r="F1195" s="18">
        <f>91700+3000+1000</f>
        <v>95700</v>
      </c>
      <c r="N1195" s="21"/>
      <c r="O1195" s="22"/>
    </row>
    <row r="1196" spans="1:15" s="10" customFormat="1" x14ac:dyDescent="0.25">
      <c r="A1196" s="16">
        <v>299</v>
      </c>
      <c r="B1196" s="16">
        <v>36</v>
      </c>
      <c r="C1196" s="16" t="s">
        <v>0</v>
      </c>
      <c r="D1196" s="16" t="s">
        <v>85</v>
      </c>
      <c r="E1196" s="17">
        <v>11.552</v>
      </c>
      <c r="F1196" s="18">
        <f>93700+3000+1000</f>
        <v>97700</v>
      </c>
      <c r="N1196" s="21"/>
      <c r="O1196" s="22"/>
    </row>
    <row r="1197" spans="1:15" s="10" customFormat="1" x14ac:dyDescent="0.25">
      <c r="A1197" s="16">
        <v>299</v>
      </c>
      <c r="B1197" s="16">
        <v>36</v>
      </c>
      <c r="C1197" s="16" t="s">
        <v>5</v>
      </c>
      <c r="D1197" s="16" t="s">
        <v>2</v>
      </c>
      <c r="E1197" s="17">
        <v>18.920000000000002</v>
      </c>
      <c r="F1197" s="18">
        <v>200000</v>
      </c>
      <c r="N1197" s="21"/>
      <c r="O1197" s="22"/>
    </row>
    <row r="1198" spans="1:15" s="10" customFormat="1" x14ac:dyDescent="0.25">
      <c r="A1198" s="16">
        <v>299</v>
      </c>
      <c r="B1198" s="16">
        <v>40</v>
      </c>
      <c r="C1198" s="16">
        <v>20</v>
      </c>
      <c r="D1198" s="16" t="s">
        <v>2</v>
      </c>
      <c r="E1198" s="17">
        <f>10.9-2.115+0.002-0.546-0.054-2.32-0.136-2.153+0.002-2.14-0.344-0.46</f>
        <v>0.63600000000000056</v>
      </c>
      <c r="F1198" s="18">
        <f>89700+3000+1000</f>
        <v>93700</v>
      </c>
      <c r="N1198" s="21"/>
      <c r="O1198" s="22"/>
    </row>
    <row r="1199" spans="1:15" s="10" customFormat="1" x14ac:dyDescent="0.25">
      <c r="A1199" s="16">
        <v>299</v>
      </c>
      <c r="B1199" s="16">
        <v>40</v>
      </c>
      <c r="C1199" s="16">
        <v>20</v>
      </c>
      <c r="D1199" s="16" t="s">
        <v>2</v>
      </c>
      <c r="E1199" s="17">
        <f>10.961-2.38</f>
        <v>8.5809999999999995</v>
      </c>
      <c r="F1199" s="18">
        <f>92700+1000</f>
        <v>93700</v>
      </c>
      <c r="N1199" s="21"/>
      <c r="O1199" s="22"/>
    </row>
    <row r="1200" spans="1:15" s="10" customFormat="1" x14ac:dyDescent="0.25">
      <c r="A1200" s="16">
        <v>299</v>
      </c>
      <c r="B1200" s="16">
        <v>45</v>
      </c>
      <c r="C1200" s="16">
        <v>20</v>
      </c>
      <c r="D1200" s="16" t="s">
        <v>2</v>
      </c>
      <c r="E1200" s="17">
        <v>3</v>
      </c>
      <c r="F1200" s="18">
        <v>200000</v>
      </c>
      <c r="N1200" s="21"/>
      <c r="O1200" s="22"/>
    </row>
    <row r="1201" spans="1:15" s="10" customFormat="1" x14ac:dyDescent="0.25">
      <c r="A1201" s="16">
        <v>299</v>
      </c>
      <c r="B1201" s="16">
        <v>45</v>
      </c>
      <c r="C1201" s="16" t="s">
        <v>0</v>
      </c>
      <c r="D1201" s="16" t="s">
        <v>2</v>
      </c>
      <c r="E1201" s="17">
        <f>11.249-0.376-4.097-0.2</f>
        <v>6.5760000000000005</v>
      </c>
      <c r="F1201" s="18">
        <f>93700+3000+1000</f>
        <v>97700</v>
      </c>
      <c r="N1201" s="21"/>
      <c r="O1201" s="22"/>
    </row>
    <row r="1202" spans="1:15" s="10" customFormat="1" x14ac:dyDescent="0.25">
      <c r="A1202" s="16">
        <v>299</v>
      </c>
      <c r="B1202" s="16">
        <v>45</v>
      </c>
      <c r="C1202" s="16">
        <v>45</v>
      </c>
      <c r="D1202" s="16" t="s">
        <v>2</v>
      </c>
      <c r="E1202" s="17">
        <f>10.2-1.869-0.739-0.356-2.134-0.066-2.148-0.593-2.135</f>
        <v>0.16000000000000059</v>
      </c>
      <c r="F1202" s="18">
        <f>91700+3000+1000</f>
        <v>95700</v>
      </c>
      <c r="N1202" s="21"/>
      <c r="O1202" s="22"/>
    </row>
    <row r="1203" spans="1:15" s="10" customFormat="1" x14ac:dyDescent="0.25">
      <c r="A1203" s="16">
        <v>299</v>
      </c>
      <c r="B1203" s="16">
        <v>45</v>
      </c>
      <c r="C1203" s="16">
        <v>45</v>
      </c>
      <c r="D1203" s="16" t="s">
        <v>85</v>
      </c>
      <c r="E1203" s="17">
        <v>11.628</v>
      </c>
      <c r="F1203" s="18">
        <f>94700+1000</f>
        <v>95700</v>
      </c>
      <c r="N1203" s="21"/>
      <c r="O1203" s="22"/>
    </row>
    <row r="1204" spans="1:15" s="10" customFormat="1" x14ac:dyDescent="0.25">
      <c r="A1204" s="16">
        <v>299</v>
      </c>
      <c r="B1204" s="16">
        <v>45</v>
      </c>
      <c r="C1204" s="16" t="s">
        <v>5</v>
      </c>
      <c r="D1204" s="16" t="s">
        <v>2</v>
      </c>
      <c r="E1204" s="17">
        <f>10.96-2.242-0.625+0.051-1.53-0.535-1.685-2.155</f>
        <v>2.2390000000000003</v>
      </c>
      <c r="F1204" s="18">
        <v>200000</v>
      </c>
      <c r="N1204" s="21"/>
      <c r="O1204" s="22"/>
    </row>
    <row r="1205" spans="1:15" s="10" customFormat="1" x14ac:dyDescent="0.25">
      <c r="A1205" s="16">
        <v>299</v>
      </c>
      <c r="B1205" s="16">
        <v>45</v>
      </c>
      <c r="C1205" s="16" t="s">
        <v>5</v>
      </c>
      <c r="D1205" s="16" t="s">
        <v>2</v>
      </c>
      <c r="E1205" s="17">
        <f>2.153-0.461</f>
        <v>1.6919999999999999</v>
      </c>
      <c r="F1205" s="18">
        <v>200000</v>
      </c>
      <c r="N1205" s="21"/>
      <c r="O1205" s="22"/>
    </row>
    <row r="1206" spans="1:15" s="10" customFormat="1" x14ac:dyDescent="0.25">
      <c r="A1206" s="16">
        <v>299</v>
      </c>
      <c r="B1206" s="16">
        <v>50</v>
      </c>
      <c r="C1206" s="16">
        <v>20</v>
      </c>
      <c r="D1206" s="16" t="s">
        <v>2</v>
      </c>
      <c r="E1206" s="17">
        <f>10.873-2.314-0.32</f>
        <v>8.238999999999999</v>
      </c>
      <c r="F1206" s="18">
        <f>89700+3000+1000</f>
        <v>93700</v>
      </c>
      <c r="N1206" s="21"/>
      <c r="O1206" s="22"/>
    </row>
    <row r="1207" spans="1:15" s="10" customFormat="1" x14ac:dyDescent="0.25">
      <c r="A1207" s="16">
        <v>299</v>
      </c>
      <c r="B1207" s="16">
        <v>50</v>
      </c>
      <c r="C1207" s="16" t="s">
        <v>0</v>
      </c>
      <c r="D1207" s="16" t="s">
        <v>85</v>
      </c>
      <c r="E1207" s="17">
        <f>10.956-1</f>
        <v>9.9559999999999995</v>
      </c>
      <c r="F1207" s="18">
        <f>93700+3000+1000</f>
        <v>97700</v>
      </c>
      <c r="N1207" s="21"/>
      <c r="O1207" s="22"/>
    </row>
    <row r="1208" spans="1:15" s="10" customFormat="1" x14ac:dyDescent="0.25">
      <c r="A1208" s="16">
        <v>299</v>
      </c>
      <c r="B1208" s="16">
        <v>50</v>
      </c>
      <c r="C1208" s="16" t="s">
        <v>0</v>
      </c>
      <c r="D1208" s="16" t="s">
        <v>85</v>
      </c>
      <c r="E1208" s="17">
        <v>1.5920000000000001</v>
      </c>
      <c r="F1208" s="18">
        <f>93700+3000+1000</f>
        <v>97700</v>
      </c>
      <c r="N1208" s="21"/>
      <c r="O1208" s="22"/>
    </row>
    <row r="1209" spans="1:15" s="10" customFormat="1" x14ac:dyDescent="0.25">
      <c r="A1209" s="16">
        <v>299</v>
      </c>
      <c r="B1209" s="16">
        <v>50</v>
      </c>
      <c r="C1209" s="16">
        <v>45</v>
      </c>
      <c r="D1209" s="16" t="s">
        <v>2</v>
      </c>
      <c r="E1209" s="17">
        <f>6.414-0.122-0.829-0.937-0.539-0.337</f>
        <v>3.6499999999999995</v>
      </c>
      <c r="F1209" s="18">
        <f>91700+3000+1000</f>
        <v>95700</v>
      </c>
      <c r="N1209" s="21"/>
      <c r="O1209" s="22"/>
    </row>
    <row r="1210" spans="1:15" s="10" customFormat="1" x14ac:dyDescent="0.25">
      <c r="A1210" s="16">
        <v>299</v>
      </c>
      <c r="B1210" s="16">
        <v>50</v>
      </c>
      <c r="C1210" s="16">
        <v>45</v>
      </c>
      <c r="D1210" s="16" t="s">
        <v>2</v>
      </c>
      <c r="E1210" s="17">
        <v>1.835</v>
      </c>
      <c r="F1210" s="18">
        <f>91700+3000+1000</f>
        <v>95700</v>
      </c>
      <c r="N1210" s="21"/>
      <c r="O1210" s="22"/>
    </row>
    <row r="1211" spans="1:15" s="10" customFormat="1" x14ac:dyDescent="0.25">
      <c r="A1211" s="16">
        <v>299</v>
      </c>
      <c r="B1211" s="16">
        <v>50</v>
      </c>
      <c r="C1211" s="16" t="s">
        <v>5</v>
      </c>
      <c r="D1211" s="16" t="s">
        <v>2</v>
      </c>
      <c r="E1211" s="17">
        <v>5.5529999999999999</v>
      </c>
      <c r="F1211" s="18">
        <v>200000</v>
      </c>
      <c r="N1211" s="21"/>
      <c r="O1211" s="22"/>
    </row>
    <row r="1212" spans="1:15" s="10" customFormat="1" x14ac:dyDescent="0.25">
      <c r="A1212" s="16">
        <v>299</v>
      </c>
      <c r="B1212" s="16">
        <v>55</v>
      </c>
      <c r="C1212" s="16" t="s">
        <v>5</v>
      </c>
      <c r="D1212" s="16" t="s">
        <v>2</v>
      </c>
      <c r="E1212" s="17">
        <v>5</v>
      </c>
      <c r="F1212" s="18">
        <v>200000</v>
      </c>
      <c r="N1212" s="21"/>
      <c r="O1212" s="22"/>
    </row>
    <row r="1213" spans="1:15" s="10" customFormat="1" x14ac:dyDescent="0.25">
      <c r="A1213" s="16">
        <v>299</v>
      </c>
      <c r="B1213" s="16">
        <v>60</v>
      </c>
      <c r="C1213" s="16">
        <v>35</v>
      </c>
      <c r="D1213" s="16" t="s">
        <v>2</v>
      </c>
      <c r="E1213" s="17">
        <f>3.33-0.573-0.341</f>
        <v>2.4159999999999999</v>
      </c>
      <c r="F1213" s="18">
        <f>91700+3000+1000</f>
        <v>95700</v>
      </c>
      <c r="N1213" s="21"/>
      <c r="O1213" s="22"/>
    </row>
    <row r="1214" spans="1:15" s="10" customFormat="1" x14ac:dyDescent="0.25">
      <c r="A1214" s="16">
        <v>299</v>
      </c>
      <c r="B1214" s="16">
        <v>60</v>
      </c>
      <c r="C1214" s="16">
        <v>35</v>
      </c>
      <c r="D1214" s="16" t="s">
        <v>2</v>
      </c>
      <c r="E1214" s="17">
        <f>9.802-0.1-0.46-1.088</f>
        <v>8.1539999999999999</v>
      </c>
      <c r="F1214" s="18">
        <f>91700+3000+1000</f>
        <v>95700</v>
      </c>
      <c r="N1214" s="21"/>
      <c r="O1214" s="22"/>
    </row>
    <row r="1215" spans="1:15" s="10" customFormat="1" x14ac:dyDescent="0.25">
      <c r="A1215" s="16">
        <v>299</v>
      </c>
      <c r="B1215" s="16">
        <v>60</v>
      </c>
      <c r="C1215" s="16">
        <v>45</v>
      </c>
      <c r="D1215" s="16" t="s">
        <v>2</v>
      </c>
      <c r="E1215" s="17">
        <v>10.574999999999999</v>
      </c>
      <c r="F1215" s="18">
        <f>91700+3000+1000</f>
        <v>95700</v>
      </c>
      <c r="N1215" s="21"/>
      <c r="O1215" s="22"/>
    </row>
    <row r="1216" spans="1:15" s="10" customFormat="1" x14ac:dyDescent="0.25">
      <c r="A1216" s="16">
        <v>299</v>
      </c>
      <c r="B1216" s="16">
        <v>60</v>
      </c>
      <c r="C1216" s="16" t="s">
        <v>0</v>
      </c>
      <c r="D1216" s="16" t="s">
        <v>2</v>
      </c>
      <c r="E1216" s="17">
        <v>8.6750000000000007</v>
      </c>
      <c r="F1216" s="18">
        <f>93700+3000+1000</f>
        <v>97700</v>
      </c>
      <c r="N1216" s="21"/>
      <c r="O1216" s="22"/>
    </row>
    <row r="1217" spans="1:15" s="10" customFormat="1" x14ac:dyDescent="0.25">
      <c r="A1217" s="16">
        <v>299</v>
      </c>
      <c r="B1217" s="16">
        <v>60</v>
      </c>
      <c r="C1217" s="16" t="s">
        <v>5</v>
      </c>
      <c r="D1217" s="16" t="s">
        <v>2</v>
      </c>
      <c r="E1217" s="17">
        <v>5</v>
      </c>
      <c r="F1217" s="18">
        <v>200000</v>
      </c>
      <c r="N1217" s="21"/>
      <c r="O1217" s="22"/>
    </row>
    <row r="1218" spans="1:15" s="10" customFormat="1" x14ac:dyDescent="0.25">
      <c r="A1218" s="16">
        <v>299</v>
      </c>
      <c r="B1218" s="16">
        <v>70</v>
      </c>
      <c r="C1218" s="16">
        <v>35</v>
      </c>
      <c r="D1218" s="16" t="s">
        <v>2</v>
      </c>
      <c r="E1218" s="17">
        <f>11.8-2.499-1.032-2.37</f>
        <v>5.899</v>
      </c>
      <c r="F1218" s="18">
        <f>91700+3000+1000</f>
        <v>95700</v>
      </c>
      <c r="N1218" s="21"/>
      <c r="O1218" s="22"/>
    </row>
    <row r="1219" spans="1:15" s="10" customFormat="1" x14ac:dyDescent="0.25">
      <c r="A1219" s="16">
        <v>299</v>
      </c>
      <c r="B1219" s="16">
        <v>70</v>
      </c>
      <c r="C1219" s="16" t="s">
        <v>0</v>
      </c>
      <c r="D1219" s="16" t="s">
        <v>2</v>
      </c>
      <c r="E1219" s="17">
        <v>4.4589999999999996</v>
      </c>
      <c r="F1219" s="18">
        <f>93700+3000+1000</f>
        <v>97700</v>
      </c>
      <c r="N1219" s="21"/>
      <c r="O1219" s="22"/>
    </row>
    <row r="1220" spans="1:15" s="10" customFormat="1" x14ac:dyDescent="0.25">
      <c r="A1220" s="16">
        <v>299</v>
      </c>
      <c r="B1220" s="16">
        <v>70</v>
      </c>
      <c r="C1220" s="16" t="s">
        <v>0</v>
      </c>
      <c r="D1220" s="16" t="s">
        <v>85</v>
      </c>
      <c r="E1220" s="17">
        <v>4.2649999999999997</v>
      </c>
      <c r="F1220" s="18">
        <f>93700+3000+1000</f>
        <v>97700</v>
      </c>
      <c r="N1220" s="21"/>
      <c r="O1220" s="22"/>
    </row>
    <row r="1221" spans="1:15" s="10" customFormat="1" x14ac:dyDescent="0.25">
      <c r="A1221" s="16">
        <v>299</v>
      </c>
      <c r="B1221" s="16">
        <v>70</v>
      </c>
      <c r="C1221" s="16" t="s">
        <v>0</v>
      </c>
      <c r="D1221" s="16" t="s">
        <v>85</v>
      </c>
      <c r="E1221" s="17">
        <v>1.7070000000000001</v>
      </c>
      <c r="F1221" s="18">
        <f>93700+3000+1000</f>
        <v>97700</v>
      </c>
      <c r="N1221" s="21"/>
      <c r="O1221" s="22"/>
    </row>
    <row r="1222" spans="1:15" s="10" customFormat="1" x14ac:dyDescent="0.25">
      <c r="A1222" s="16">
        <v>299</v>
      </c>
      <c r="B1222" s="16">
        <v>80</v>
      </c>
      <c r="C1222" s="16">
        <v>20</v>
      </c>
      <c r="D1222" s="16" t="s">
        <v>2</v>
      </c>
      <c r="E1222" s="17">
        <f>2.476-2.035-0.198+0.025-0.078</f>
        <v>0.18999999999999984</v>
      </c>
      <c r="F1222" s="18">
        <f>89700+3000+1000</f>
        <v>93700</v>
      </c>
      <c r="N1222" s="21"/>
      <c r="O1222" s="22"/>
    </row>
    <row r="1223" spans="1:15" s="10" customFormat="1" x14ac:dyDescent="0.25">
      <c r="A1223" s="16">
        <v>299</v>
      </c>
      <c r="B1223" s="16">
        <v>80</v>
      </c>
      <c r="C1223" s="16">
        <v>20</v>
      </c>
      <c r="D1223" s="16" t="s">
        <v>10</v>
      </c>
      <c r="E1223" s="17">
        <f>4.412-0.93-0.783-1.34+0.042</f>
        <v>1.4009999999999998</v>
      </c>
      <c r="F1223" s="18">
        <f>92700+1000</f>
        <v>93700</v>
      </c>
      <c r="N1223" s="21"/>
      <c r="O1223" s="22"/>
    </row>
    <row r="1224" spans="1:15" s="10" customFormat="1" x14ac:dyDescent="0.25">
      <c r="A1224" s="16">
        <v>324</v>
      </c>
      <c r="B1224" s="16">
        <v>9.5</v>
      </c>
      <c r="C1224" s="16" t="s">
        <v>20</v>
      </c>
      <c r="D1224" s="16" t="s">
        <v>2</v>
      </c>
      <c r="E1224" s="17">
        <v>1.4219999999999999</v>
      </c>
      <c r="F1224" s="18">
        <v>78700</v>
      </c>
      <c r="N1224" s="21"/>
      <c r="O1224" s="22"/>
    </row>
    <row r="1225" spans="1:15" s="10" customFormat="1" x14ac:dyDescent="0.25">
      <c r="A1225" s="16">
        <v>325</v>
      </c>
      <c r="B1225" s="16">
        <v>6</v>
      </c>
      <c r="C1225" s="16" t="s">
        <v>101</v>
      </c>
      <c r="D1225" s="16" t="s">
        <v>25</v>
      </c>
      <c r="E1225" s="17">
        <v>3.96</v>
      </c>
      <c r="F1225" s="18">
        <v>54700</v>
      </c>
      <c r="N1225" s="21"/>
      <c r="O1225" s="22"/>
    </row>
    <row r="1226" spans="1:15" s="10" customFormat="1" x14ac:dyDescent="0.25">
      <c r="A1226" s="16">
        <v>325</v>
      </c>
      <c r="B1226" s="16">
        <v>7</v>
      </c>
      <c r="C1226" s="16" t="s">
        <v>101</v>
      </c>
      <c r="D1226" s="16" t="s">
        <v>25</v>
      </c>
      <c r="E1226" s="17">
        <v>0.623</v>
      </c>
      <c r="F1226" s="18">
        <v>54700</v>
      </c>
      <c r="N1226" s="21"/>
      <c r="O1226" s="22"/>
    </row>
    <row r="1227" spans="1:15" s="10" customFormat="1" x14ac:dyDescent="0.25">
      <c r="A1227" s="16">
        <v>325</v>
      </c>
      <c r="B1227" s="16">
        <v>8</v>
      </c>
      <c r="C1227" s="16" t="s">
        <v>101</v>
      </c>
      <c r="D1227" s="16" t="s">
        <v>110</v>
      </c>
      <c r="E1227" s="17">
        <v>7.4349999999999996</v>
      </c>
      <c r="F1227" s="18">
        <v>54700</v>
      </c>
      <c r="N1227" s="21"/>
      <c r="O1227" s="22"/>
    </row>
    <row r="1228" spans="1:15" s="10" customFormat="1" x14ac:dyDescent="0.25">
      <c r="A1228" s="16">
        <v>325</v>
      </c>
      <c r="B1228" s="16">
        <v>8</v>
      </c>
      <c r="C1228" s="16">
        <v>20</v>
      </c>
      <c r="D1228" s="16" t="s">
        <v>2</v>
      </c>
      <c r="E1228" s="17">
        <f>4.175-0.039-0.335-0.114-0.07-0.12-0.697-0.691-0.691-0.032</f>
        <v>1.3860000000000006</v>
      </c>
      <c r="F1228" s="18">
        <f>62700+3000+1000+5000</f>
        <v>71700</v>
      </c>
      <c r="N1228" s="21"/>
      <c r="O1228" s="22"/>
    </row>
    <row r="1229" spans="1:15" s="10" customFormat="1" x14ac:dyDescent="0.25">
      <c r="A1229" s="16">
        <v>325</v>
      </c>
      <c r="B1229" s="16">
        <v>8</v>
      </c>
      <c r="C1229" s="16">
        <v>20</v>
      </c>
      <c r="D1229" s="16" t="s">
        <v>2</v>
      </c>
      <c r="E1229" s="17">
        <f>14.358-0.133</f>
        <v>14.225000000000001</v>
      </c>
      <c r="F1229" s="18">
        <f>62700+3000+1000+5000</f>
        <v>71700</v>
      </c>
      <c r="N1229" s="21"/>
      <c r="O1229" s="22"/>
    </row>
    <row r="1230" spans="1:15" s="10" customFormat="1" x14ac:dyDescent="0.25">
      <c r="A1230" s="16">
        <v>325</v>
      </c>
      <c r="B1230" s="16">
        <v>8</v>
      </c>
      <c r="C1230" s="16" t="s">
        <v>17</v>
      </c>
      <c r="D1230" s="16" t="s">
        <v>2</v>
      </c>
      <c r="E1230" s="17">
        <f>14.45-0.611-0.014-0.034-0.088-0.028-0.066-0.19</f>
        <v>13.418999999999999</v>
      </c>
      <c r="F1230" s="18">
        <f>74700+3000+1000</f>
        <v>78700</v>
      </c>
      <c r="N1230" s="21"/>
      <c r="O1230" s="22"/>
    </row>
    <row r="1231" spans="1:15" s="10" customFormat="1" x14ac:dyDescent="0.25">
      <c r="A1231" s="16">
        <v>325</v>
      </c>
      <c r="B1231" s="16">
        <v>8</v>
      </c>
      <c r="C1231" s="16" t="s">
        <v>0</v>
      </c>
      <c r="D1231" s="16" t="s">
        <v>2</v>
      </c>
      <c r="E1231" s="17">
        <f>5.58-0.067-0.61-0.048-0.463-0.39-0.069-1.433-0.039-0.326</f>
        <v>2.1349999999999998</v>
      </c>
      <c r="F1231" s="18">
        <f>64700+3000+7000</f>
        <v>74700</v>
      </c>
      <c r="N1231" s="21"/>
      <c r="O1231" s="22"/>
    </row>
    <row r="1232" spans="1:15" s="10" customFormat="1" x14ac:dyDescent="0.25">
      <c r="A1232" s="16">
        <v>325</v>
      </c>
      <c r="B1232" s="16">
        <v>8</v>
      </c>
      <c r="C1232" s="16" t="s">
        <v>0</v>
      </c>
      <c r="D1232" s="16" t="s">
        <v>2</v>
      </c>
      <c r="E1232" s="17">
        <v>10.747999999999999</v>
      </c>
      <c r="F1232" s="18">
        <f>64700+3000+7000</f>
        <v>74700</v>
      </c>
      <c r="N1232" s="21"/>
      <c r="O1232" s="22"/>
    </row>
    <row r="1233" spans="1:15" s="10" customFormat="1" x14ac:dyDescent="0.25">
      <c r="A1233" s="16">
        <v>325</v>
      </c>
      <c r="B1233" s="16">
        <v>8</v>
      </c>
      <c r="C1233" s="16" t="s">
        <v>0</v>
      </c>
      <c r="D1233" s="16" t="s">
        <v>13</v>
      </c>
      <c r="E1233" s="17">
        <v>0.59199999999999997</v>
      </c>
      <c r="F1233" s="18">
        <f>80700+1000</f>
        <v>81700</v>
      </c>
      <c r="N1233" s="21"/>
      <c r="O1233" s="22"/>
    </row>
    <row r="1234" spans="1:15" s="10" customFormat="1" x14ac:dyDescent="0.25">
      <c r="A1234" s="16">
        <v>325</v>
      </c>
      <c r="B1234" s="16">
        <v>8</v>
      </c>
      <c r="C1234" s="16" t="s">
        <v>0</v>
      </c>
      <c r="D1234" s="16" t="s">
        <v>13</v>
      </c>
      <c r="E1234" s="17">
        <v>0.56599999999999995</v>
      </c>
      <c r="F1234" s="18">
        <f>80700+1000</f>
        <v>81700</v>
      </c>
      <c r="N1234" s="21"/>
      <c r="O1234" s="22"/>
    </row>
    <row r="1235" spans="1:15" s="10" customFormat="1" x14ac:dyDescent="0.25">
      <c r="A1235" s="16">
        <v>325</v>
      </c>
      <c r="B1235" s="16">
        <v>10</v>
      </c>
      <c r="C1235" s="16">
        <v>20</v>
      </c>
      <c r="D1235" s="16" t="s">
        <v>2</v>
      </c>
      <c r="E1235" s="17">
        <f>4.088-0.894-0.111-0.206-0.159-0.081</f>
        <v>2.637</v>
      </c>
      <c r="F1235" s="18">
        <f>62700+3000+1000+5000</f>
        <v>71700</v>
      </c>
      <c r="N1235" s="21"/>
      <c r="O1235" s="22"/>
    </row>
    <row r="1236" spans="1:15" s="10" customFormat="1" x14ac:dyDescent="0.25">
      <c r="A1236" s="16">
        <v>325</v>
      </c>
      <c r="B1236" s="16">
        <v>10</v>
      </c>
      <c r="C1236" s="16">
        <v>20</v>
      </c>
      <c r="D1236" s="16" t="s">
        <v>4</v>
      </c>
      <c r="E1236" s="17">
        <v>0.71099999999999997</v>
      </c>
      <c r="F1236" s="18">
        <f>125700+1000</f>
        <v>126700</v>
      </c>
      <c r="N1236" s="21"/>
      <c r="O1236" s="22"/>
    </row>
    <row r="1237" spans="1:15" s="10" customFormat="1" x14ac:dyDescent="0.25">
      <c r="A1237" s="16">
        <v>325</v>
      </c>
      <c r="B1237" s="16">
        <v>10</v>
      </c>
      <c r="C1237" s="16" t="s">
        <v>30</v>
      </c>
      <c r="D1237" s="16" t="s">
        <v>2</v>
      </c>
      <c r="E1237" s="17">
        <f>5.655-0.841-0.852-0.109-0.47-1.016-0.862</f>
        <v>1.5049999999999999</v>
      </c>
      <c r="F1237" s="18">
        <f>89700+1000</f>
        <v>90700</v>
      </c>
      <c r="N1237" s="21"/>
      <c r="O1237" s="22"/>
    </row>
    <row r="1238" spans="1:15" s="10" customFormat="1" x14ac:dyDescent="0.25">
      <c r="A1238" s="16">
        <v>325</v>
      </c>
      <c r="B1238" s="16">
        <v>10</v>
      </c>
      <c r="C1238" s="16" t="s">
        <v>0</v>
      </c>
      <c r="D1238" s="16" t="s">
        <v>13</v>
      </c>
      <c r="E1238" s="17">
        <f>2.034-0.119-0.158-0.104-0.161-0.09-0.243-0.039</f>
        <v>1.1199999999999999</v>
      </c>
      <c r="F1238" s="18">
        <f>80700+1000</f>
        <v>81700</v>
      </c>
      <c r="N1238" s="21"/>
      <c r="O1238" s="22"/>
    </row>
    <row r="1239" spans="1:15" s="10" customFormat="1" x14ac:dyDescent="0.25">
      <c r="A1239" s="16">
        <v>325</v>
      </c>
      <c r="B1239" s="16">
        <v>10</v>
      </c>
      <c r="C1239" s="16" t="s">
        <v>0</v>
      </c>
      <c r="D1239" s="16" t="s">
        <v>13</v>
      </c>
      <c r="E1239" s="17">
        <f>1.007-0.434</f>
        <v>0.57299999999999995</v>
      </c>
      <c r="F1239" s="18">
        <f>80700+1000</f>
        <v>81700</v>
      </c>
      <c r="N1239" s="21"/>
      <c r="O1239" s="22"/>
    </row>
    <row r="1240" spans="1:15" s="10" customFormat="1" x14ac:dyDescent="0.25">
      <c r="A1240" s="16">
        <v>325</v>
      </c>
      <c r="B1240" s="16">
        <v>12</v>
      </c>
      <c r="C1240" s="16">
        <v>20</v>
      </c>
      <c r="D1240" s="16" t="s">
        <v>2</v>
      </c>
      <c r="E1240" s="17">
        <v>2.2040000000000002</v>
      </c>
      <c r="F1240" s="18">
        <v>71700</v>
      </c>
      <c r="N1240" s="21"/>
      <c r="O1240" s="22"/>
    </row>
    <row r="1241" spans="1:15" s="10" customFormat="1" x14ac:dyDescent="0.25">
      <c r="A1241" s="16">
        <v>325</v>
      </c>
      <c r="B1241" s="16">
        <v>12</v>
      </c>
      <c r="C1241" s="16">
        <v>20</v>
      </c>
      <c r="D1241" s="16" t="s">
        <v>2</v>
      </c>
      <c r="E1241" s="17">
        <f>3.907-1.043-0.051-0.179</f>
        <v>2.6339999999999999</v>
      </c>
      <c r="F1241" s="18">
        <f>67700+3000+1000</f>
        <v>71700</v>
      </c>
      <c r="N1241" s="21"/>
      <c r="O1241" s="22"/>
    </row>
    <row r="1242" spans="1:15" s="10" customFormat="1" x14ac:dyDescent="0.25">
      <c r="A1242" s="16">
        <v>325</v>
      </c>
      <c r="B1242" s="16">
        <v>12</v>
      </c>
      <c r="C1242" s="16">
        <v>20</v>
      </c>
      <c r="D1242" s="16" t="s">
        <v>28</v>
      </c>
      <c r="E1242" s="17">
        <v>0.69399999999999995</v>
      </c>
      <c r="F1242" s="18">
        <f>87700+1000</f>
        <v>88700</v>
      </c>
      <c r="N1242" s="21"/>
      <c r="O1242" s="22"/>
    </row>
    <row r="1243" spans="1:15" s="10" customFormat="1" x14ac:dyDescent="0.25">
      <c r="A1243" s="16">
        <v>325</v>
      </c>
      <c r="B1243" s="16">
        <v>12</v>
      </c>
      <c r="C1243" s="16">
        <v>20</v>
      </c>
      <c r="D1243" s="16" t="s">
        <v>28</v>
      </c>
      <c r="E1243" s="17">
        <v>0.85199999999999998</v>
      </c>
      <c r="F1243" s="18">
        <f>87700+1000</f>
        <v>88700</v>
      </c>
      <c r="N1243" s="21"/>
      <c r="O1243" s="22"/>
    </row>
    <row r="1244" spans="1:15" s="10" customFormat="1" x14ac:dyDescent="0.25">
      <c r="A1244" s="16">
        <v>325</v>
      </c>
      <c r="B1244" s="16">
        <v>12</v>
      </c>
      <c r="C1244" s="16" t="s">
        <v>30</v>
      </c>
      <c r="D1244" s="16" t="s">
        <v>2</v>
      </c>
      <c r="E1244" s="17">
        <f>0.618-0.051</f>
        <v>0.56699999999999995</v>
      </c>
      <c r="F1244" s="18">
        <f>89700+1000</f>
        <v>90700</v>
      </c>
      <c r="N1244" s="21"/>
      <c r="O1244" s="22"/>
    </row>
    <row r="1245" spans="1:15" s="10" customFormat="1" x14ac:dyDescent="0.25">
      <c r="A1245" s="16">
        <v>325</v>
      </c>
      <c r="B1245" s="16">
        <v>12</v>
      </c>
      <c r="C1245" s="16" t="s">
        <v>8</v>
      </c>
      <c r="D1245" s="16" t="s">
        <v>9</v>
      </c>
      <c r="E1245" s="17">
        <v>5.8150000000000004</v>
      </c>
      <c r="F1245" s="18">
        <v>350000</v>
      </c>
      <c r="N1245" s="21"/>
      <c r="O1245" s="22"/>
    </row>
    <row r="1246" spans="1:15" s="10" customFormat="1" x14ac:dyDescent="0.25">
      <c r="A1246" s="16">
        <v>325</v>
      </c>
      <c r="B1246" s="16">
        <v>12</v>
      </c>
      <c r="C1246" s="16" t="s">
        <v>8</v>
      </c>
      <c r="D1246" s="16" t="s">
        <v>9</v>
      </c>
      <c r="E1246" s="17">
        <f>6.985-0.021-0.097</f>
        <v>6.867</v>
      </c>
      <c r="F1246" s="18">
        <v>350000</v>
      </c>
      <c r="N1246" s="21"/>
      <c r="O1246" s="22"/>
    </row>
    <row r="1247" spans="1:15" s="10" customFormat="1" x14ac:dyDescent="0.25">
      <c r="A1247" s="16">
        <v>325</v>
      </c>
      <c r="B1247" s="16">
        <v>13</v>
      </c>
      <c r="C1247" s="16">
        <v>20</v>
      </c>
      <c r="D1247" s="16" t="s">
        <v>4</v>
      </c>
      <c r="E1247" s="17">
        <v>0.90600000000000003</v>
      </c>
      <c r="F1247" s="18">
        <v>117700</v>
      </c>
      <c r="N1247" s="21"/>
      <c r="O1247" s="22"/>
    </row>
    <row r="1248" spans="1:15" s="10" customFormat="1" x14ac:dyDescent="0.25">
      <c r="A1248" s="16">
        <v>325</v>
      </c>
      <c r="B1248" s="16">
        <v>13</v>
      </c>
      <c r="C1248" s="16">
        <v>20</v>
      </c>
      <c r="D1248" s="16" t="s">
        <v>4</v>
      </c>
      <c r="E1248" s="17">
        <v>0.90300000000000002</v>
      </c>
      <c r="F1248" s="18">
        <v>117700</v>
      </c>
      <c r="N1248" s="21"/>
      <c r="O1248" s="22"/>
    </row>
    <row r="1249" spans="1:15" s="10" customFormat="1" x14ac:dyDescent="0.25">
      <c r="A1249" s="16">
        <v>325</v>
      </c>
      <c r="B1249" s="16">
        <v>13</v>
      </c>
      <c r="C1249" s="16">
        <v>20</v>
      </c>
      <c r="D1249" s="16" t="s">
        <v>91</v>
      </c>
      <c r="E1249" s="17">
        <v>0.433</v>
      </c>
      <c r="F1249" s="18">
        <v>117700</v>
      </c>
      <c r="N1249" s="21"/>
      <c r="O1249" s="22"/>
    </row>
    <row r="1250" spans="1:15" s="10" customFormat="1" x14ac:dyDescent="0.25">
      <c r="A1250" s="16">
        <v>325</v>
      </c>
      <c r="B1250" s="16">
        <v>13</v>
      </c>
      <c r="C1250" s="16" t="s">
        <v>30</v>
      </c>
      <c r="D1250" s="16" t="s">
        <v>2</v>
      </c>
      <c r="E1250" s="17">
        <v>1.0429999999999999</v>
      </c>
      <c r="F1250" s="18">
        <f>89700+1000</f>
        <v>90700</v>
      </c>
      <c r="N1250" s="21"/>
      <c r="O1250" s="22"/>
    </row>
    <row r="1251" spans="1:15" s="10" customFormat="1" x14ac:dyDescent="0.25">
      <c r="A1251" s="16">
        <v>325</v>
      </c>
      <c r="B1251" s="16">
        <v>14</v>
      </c>
      <c r="C1251" s="16">
        <v>20</v>
      </c>
      <c r="D1251" s="16" t="s">
        <v>4</v>
      </c>
      <c r="E1251" s="17">
        <v>1.1439999999999999</v>
      </c>
      <c r="F1251" s="18">
        <v>117700</v>
      </c>
      <c r="N1251" s="21"/>
      <c r="O1251" s="22"/>
    </row>
    <row r="1252" spans="1:15" s="10" customFormat="1" x14ac:dyDescent="0.25">
      <c r="A1252" s="16">
        <v>325</v>
      </c>
      <c r="B1252" s="16">
        <v>14</v>
      </c>
      <c r="C1252" s="16">
        <v>20</v>
      </c>
      <c r="D1252" s="16" t="s">
        <v>2</v>
      </c>
      <c r="E1252" s="17">
        <v>1.091</v>
      </c>
      <c r="F1252" s="18">
        <f>39000+1000</f>
        <v>40000</v>
      </c>
      <c r="N1252" s="21"/>
      <c r="O1252" s="22"/>
    </row>
    <row r="1253" spans="1:15" s="10" customFormat="1" x14ac:dyDescent="0.25">
      <c r="A1253" s="16">
        <v>325</v>
      </c>
      <c r="B1253" s="16">
        <v>14</v>
      </c>
      <c r="C1253" s="16">
        <v>20</v>
      </c>
      <c r="D1253" s="16" t="s">
        <v>28</v>
      </c>
      <c r="E1253" s="17">
        <f>1.6-0.061</f>
        <v>1.5390000000000001</v>
      </c>
      <c r="F1253" s="18">
        <f>87700+1000</f>
        <v>88700</v>
      </c>
      <c r="N1253" s="21"/>
      <c r="O1253" s="22"/>
    </row>
    <row r="1254" spans="1:15" s="10" customFormat="1" x14ac:dyDescent="0.25">
      <c r="A1254" s="16">
        <v>325</v>
      </c>
      <c r="B1254" s="16">
        <v>14</v>
      </c>
      <c r="C1254" s="16">
        <v>20</v>
      </c>
      <c r="D1254" s="16" t="s">
        <v>58</v>
      </c>
      <c r="E1254" s="17">
        <v>0.97</v>
      </c>
      <c r="F1254" s="18">
        <v>117700</v>
      </c>
      <c r="N1254" s="21"/>
      <c r="O1254" s="22"/>
    </row>
    <row r="1255" spans="1:15" s="10" customFormat="1" x14ac:dyDescent="0.25">
      <c r="A1255" s="16">
        <v>325</v>
      </c>
      <c r="B1255" s="16">
        <v>14</v>
      </c>
      <c r="C1255" s="16" t="s">
        <v>0</v>
      </c>
      <c r="D1255" s="16" t="s">
        <v>13</v>
      </c>
      <c r="E1255" s="17">
        <f>2.337-0.043-0.154</f>
        <v>2.14</v>
      </c>
      <c r="F1255" s="18">
        <f>80700+1000</f>
        <v>81700</v>
      </c>
      <c r="N1255" s="21"/>
      <c r="O1255" s="22"/>
    </row>
    <row r="1256" spans="1:15" s="10" customFormat="1" x14ac:dyDescent="0.25">
      <c r="A1256" s="16">
        <v>325</v>
      </c>
      <c r="B1256" s="16">
        <v>14</v>
      </c>
      <c r="C1256" s="16" t="s">
        <v>0</v>
      </c>
      <c r="D1256" s="16" t="s">
        <v>13</v>
      </c>
      <c r="E1256" s="17">
        <f>8.458-1.072</f>
        <v>7.3860000000000001</v>
      </c>
      <c r="F1256" s="18">
        <f>63500+3000+3000</f>
        <v>69500</v>
      </c>
      <c r="N1256" s="21"/>
      <c r="O1256" s="22"/>
    </row>
    <row r="1257" spans="1:15" s="10" customFormat="1" x14ac:dyDescent="0.25">
      <c r="A1257" s="16">
        <v>325</v>
      </c>
      <c r="B1257" s="16">
        <v>14</v>
      </c>
      <c r="C1257" s="16" t="s">
        <v>30</v>
      </c>
      <c r="D1257" s="16" t="s">
        <v>2</v>
      </c>
      <c r="E1257" s="17">
        <f>3.037-0.036</f>
        <v>3.0009999999999999</v>
      </c>
      <c r="F1257" s="18">
        <f>89700+1000</f>
        <v>90700</v>
      </c>
      <c r="N1257" s="21"/>
      <c r="O1257" s="22"/>
    </row>
    <row r="1258" spans="1:15" s="10" customFormat="1" x14ac:dyDescent="0.25">
      <c r="A1258" s="16">
        <v>325</v>
      </c>
      <c r="B1258" s="16">
        <v>14</v>
      </c>
      <c r="C1258" s="16" t="s">
        <v>8</v>
      </c>
      <c r="D1258" s="16" t="s">
        <v>9</v>
      </c>
      <c r="E1258" s="17">
        <f>5.925-2.874</f>
        <v>3.0509999999999997</v>
      </c>
      <c r="F1258" s="18">
        <v>350000</v>
      </c>
      <c r="N1258" s="21"/>
      <c r="O1258" s="22"/>
    </row>
    <row r="1259" spans="1:15" s="10" customFormat="1" x14ac:dyDescent="0.25">
      <c r="A1259" s="16">
        <v>325</v>
      </c>
      <c r="B1259" s="16">
        <v>15</v>
      </c>
      <c r="C1259" s="16" t="s">
        <v>0</v>
      </c>
      <c r="D1259" s="16" t="s">
        <v>13</v>
      </c>
      <c r="E1259" s="17">
        <v>1.7370000000000001</v>
      </c>
      <c r="F1259" s="18">
        <f>63500+3000+3000</f>
        <v>69500</v>
      </c>
      <c r="N1259" s="21"/>
      <c r="O1259" s="22"/>
    </row>
    <row r="1260" spans="1:15" s="10" customFormat="1" x14ac:dyDescent="0.25">
      <c r="A1260" s="16">
        <v>325</v>
      </c>
      <c r="B1260" s="16">
        <v>15</v>
      </c>
      <c r="C1260" s="16" t="s">
        <v>0</v>
      </c>
      <c r="D1260" s="16" t="s">
        <v>13</v>
      </c>
      <c r="E1260" s="17">
        <v>13.653</v>
      </c>
      <c r="F1260" s="18">
        <f>63500+3000+3000</f>
        <v>69500</v>
      </c>
      <c r="N1260" s="21"/>
      <c r="O1260" s="22"/>
    </row>
    <row r="1261" spans="1:15" s="10" customFormat="1" x14ac:dyDescent="0.25">
      <c r="A1261" s="16">
        <v>325</v>
      </c>
      <c r="B1261" s="16">
        <v>15</v>
      </c>
      <c r="C1261" s="16" t="s">
        <v>0</v>
      </c>
      <c r="D1261" s="16" t="s">
        <v>13</v>
      </c>
      <c r="E1261" s="17">
        <f>5.842-0.923</f>
        <v>4.9189999999999996</v>
      </c>
      <c r="F1261" s="18">
        <f>63500+3000+3000</f>
        <v>69500</v>
      </c>
      <c r="N1261" s="21"/>
      <c r="O1261" s="22"/>
    </row>
    <row r="1262" spans="1:15" s="10" customFormat="1" x14ac:dyDescent="0.25">
      <c r="A1262" s="16">
        <v>325</v>
      </c>
      <c r="B1262" s="16">
        <v>16</v>
      </c>
      <c r="C1262" s="16">
        <v>20</v>
      </c>
      <c r="D1262" s="16" t="s">
        <v>2</v>
      </c>
      <c r="E1262" s="17">
        <f>2.901-0.028</f>
        <v>2.8729999999999998</v>
      </c>
      <c r="F1262" s="18">
        <f>72700+3000+1000</f>
        <v>76700</v>
      </c>
      <c r="N1262" s="21"/>
      <c r="O1262" s="22"/>
    </row>
    <row r="1263" spans="1:15" s="10" customFormat="1" x14ac:dyDescent="0.25">
      <c r="A1263" s="16">
        <v>325</v>
      </c>
      <c r="B1263" s="16">
        <v>16</v>
      </c>
      <c r="C1263" s="16" t="s">
        <v>8</v>
      </c>
      <c r="D1263" s="16" t="s">
        <v>9</v>
      </c>
      <c r="E1263" s="17">
        <f>5.305-4.238+0.014-0.253+0.002</f>
        <v>0.82999999999999929</v>
      </c>
      <c r="F1263" s="18">
        <v>350000</v>
      </c>
      <c r="N1263" s="21"/>
      <c r="O1263" s="22"/>
    </row>
    <row r="1264" spans="1:15" s="10" customFormat="1" x14ac:dyDescent="0.25">
      <c r="A1264" s="16">
        <v>325</v>
      </c>
      <c r="B1264" s="16">
        <v>17</v>
      </c>
      <c r="C1264" s="16" t="s">
        <v>0</v>
      </c>
      <c r="D1264" s="16" t="s">
        <v>44</v>
      </c>
      <c r="E1264" s="17">
        <v>0.26100000000000001</v>
      </c>
      <c r="F1264" s="18">
        <f>80700+1000</f>
        <v>81700</v>
      </c>
      <c r="N1264" s="21"/>
      <c r="O1264" s="22"/>
    </row>
    <row r="1265" spans="1:15" s="10" customFormat="1" x14ac:dyDescent="0.25">
      <c r="A1265" s="16">
        <v>325</v>
      </c>
      <c r="B1265" s="16">
        <v>17</v>
      </c>
      <c r="C1265" s="16">
        <v>20</v>
      </c>
      <c r="D1265" s="16" t="s">
        <v>2</v>
      </c>
      <c r="E1265" s="17">
        <v>1.071</v>
      </c>
      <c r="F1265" s="18">
        <f>39000+1000</f>
        <v>40000</v>
      </c>
      <c r="N1265" s="21"/>
      <c r="O1265" s="22"/>
    </row>
    <row r="1266" spans="1:15" s="10" customFormat="1" x14ac:dyDescent="0.25">
      <c r="A1266" s="16">
        <v>325</v>
      </c>
      <c r="B1266" s="16">
        <v>18</v>
      </c>
      <c r="C1266" s="16">
        <v>20</v>
      </c>
      <c r="D1266" s="16" t="s">
        <v>2</v>
      </c>
      <c r="E1266" s="17">
        <v>1.4379999999999999</v>
      </c>
      <c r="F1266" s="18">
        <f>67700+3000+1000</f>
        <v>71700</v>
      </c>
      <c r="N1266" s="21"/>
      <c r="O1266" s="22"/>
    </row>
    <row r="1267" spans="1:15" s="10" customFormat="1" x14ac:dyDescent="0.25">
      <c r="A1267" s="16">
        <v>325</v>
      </c>
      <c r="B1267" s="16">
        <v>18</v>
      </c>
      <c r="C1267" s="16">
        <v>20</v>
      </c>
      <c r="D1267" s="16" t="s">
        <v>2</v>
      </c>
      <c r="E1267" s="17">
        <f>0.92-0.283</f>
        <v>0.63700000000000001</v>
      </c>
      <c r="F1267" s="18">
        <f>70700+1000</f>
        <v>71700</v>
      </c>
      <c r="N1267" s="21"/>
      <c r="O1267" s="22"/>
    </row>
    <row r="1268" spans="1:15" s="10" customFormat="1" x14ac:dyDescent="0.25">
      <c r="A1268" s="16">
        <v>325</v>
      </c>
      <c r="B1268" s="16">
        <v>18</v>
      </c>
      <c r="C1268" s="16">
        <v>20</v>
      </c>
      <c r="D1268" s="16" t="s">
        <v>2</v>
      </c>
      <c r="E1268" s="17">
        <f>25.178+6.104-18.579-9.625</f>
        <v>3.0779999999999994</v>
      </c>
      <c r="F1268" s="18">
        <v>76700</v>
      </c>
      <c r="N1268" s="21"/>
      <c r="O1268" s="22"/>
    </row>
    <row r="1269" spans="1:15" s="10" customFormat="1" x14ac:dyDescent="0.25">
      <c r="A1269" s="16">
        <v>325</v>
      </c>
      <c r="B1269" s="16">
        <v>18</v>
      </c>
      <c r="C1269" s="16" t="s">
        <v>17</v>
      </c>
      <c r="D1269" s="16" t="s">
        <v>2</v>
      </c>
      <c r="E1269" s="17">
        <v>3.1859999999999999</v>
      </c>
      <c r="F1269" s="18">
        <f>89700+1000</f>
        <v>90700</v>
      </c>
      <c r="N1269" s="21"/>
      <c r="O1269" s="22"/>
    </row>
    <row r="1270" spans="1:15" s="10" customFormat="1" x14ac:dyDescent="0.25">
      <c r="A1270" s="16">
        <v>325</v>
      </c>
      <c r="B1270" s="16">
        <v>18</v>
      </c>
      <c r="C1270" s="16" t="s">
        <v>8</v>
      </c>
      <c r="D1270" s="16" t="s">
        <v>9</v>
      </c>
      <c r="E1270" s="17">
        <v>5.1040000000000001</v>
      </c>
      <c r="F1270" s="18">
        <v>350000</v>
      </c>
      <c r="N1270" s="21"/>
      <c r="O1270" s="22"/>
    </row>
    <row r="1271" spans="1:15" s="10" customFormat="1" x14ac:dyDescent="0.25">
      <c r="A1271" s="16">
        <v>325</v>
      </c>
      <c r="B1271" s="16">
        <v>18</v>
      </c>
      <c r="C1271" s="16">
        <v>20</v>
      </c>
      <c r="D1271" s="16" t="s">
        <v>2</v>
      </c>
      <c r="E1271" s="17">
        <v>0.15</v>
      </c>
      <c r="F1271" s="18">
        <v>69000</v>
      </c>
      <c r="N1271" s="21"/>
      <c r="O1271" s="22"/>
    </row>
    <row r="1272" spans="1:15" s="10" customFormat="1" x14ac:dyDescent="0.25">
      <c r="A1272" s="16">
        <v>325</v>
      </c>
      <c r="B1272" s="16">
        <v>18</v>
      </c>
      <c r="C1272" s="16" t="s">
        <v>8</v>
      </c>
      <c r="D1272" s="16" t="s">
        <v>9</v>
      </c>
      <c r="E1272" s="17">
        <v>1</v>
      </c>
      <c r="F1272" s="18">
        <v>350000</v>
      </c>
      <c r="N1272" s="21"/>
      <c r="O1272" s="22"/>
    </row>
    <row r="1273" spans="1:15" s="10" customFormat="1" x14ac:dyDescent="0.25">
      <c r="A1273" s="16">
        <v>325</v>
      </c>
      <c r="B1273" s="16">
        <v>20</v>
      </c>
      <c r="C1273" s="16">
        <v>20</v>
      </c>
      <c r="D1273" s="16" t="s">
        <v>2</v>
      </c>
      <c r="E1273" s="17">
        <v>1.4730000000000001</v>
      </c>
      <c r="F1273" s="18">
        <f>72700+3000+1000</f>
        <v>76700</v>
      </c>
      <c r="N1273" s="21"/>
      <c r="O1273" s="22"/>
    </row>
    <row r="1274" spans="1:15" s="10" customFormat="1" x14ac:dyDescent="0.25">
      <c r="A1274" s="16">
        <v>325</v>
      </c>
      <c r="B1274" s="16">
        <v>20</v>
      </c>
      <c r="C1274" s="16">
        <v>20</v>
      </c>
      <c r="D1274" s="16" t="s">
        <v>2</v>
      </c>
      <c r="E1274" s="17">
        <f>1.795-0.231-0.231-0.912-0.061-0.237+0.001</f>
        <v>0.12399999999999972</v>
      </c>
      <c r="F1274" s="18">
        <f>72700+3000+1000</f>
        <v>76700</v>
      </c>
      <c r="N1274" s="21"/>
      <c r="O1274" s="22"/>
    </row>
    <row r="1275" spans="1:15" s="10" customFormat="1" x14ac:dyDescent="0.25">
      <c r="A1275" s="16">
        <v>325</v>
      </c>
      <c r="B1275" s="16">
        <v>20</v>
      </c>
      <c r="C1275" s="16">
        <v>20</v>
      </c>
      <c r="D1275" s="16" t="s">
        <v>2</v>
      </c>
      <c r="E1275" s="17">
        <v>0.86099999999999999</v>
      </c>
      <c r="F1275" s="18">
        <f>39000+1000</f>
        <v>40000</v>
      </c>
      <c r="N1275" s="21"/>
      <c r="O1275" s="22"/>
    </row>
    <row r="1276" spans="1:15" s="10" customFormat="1" x14ac:dyDescent="0.25">
      <c r="A1276" s="16">
        <v>325</v>
      </c>
      <c r="B1276" s="16">
        <v>20</v>
      </c>
      <c r="C1276" s="16">
        <v>20</v>
      </c>
      <c r="D1276" s="16" t="s">
        <v>10</v>
      </c>
      <c r="E1276" s="17">
        <v>1.764</v>
      </c>
      <c r="F1276" s="18">
        <f>75700+1000</f>
        <v>76700</v>
      </c>
      <c r="N1276" s="21"/>
      <c r="O1276" s="22"/>
    </row>
    <row r="1277" spans="1:15" s="10" customFormat="1" x14ac:dyDescent="0.25">
      <c r="A1277" s="16">
        <v>325</v>
      </c>
      <c r="B1277" s="16">
        <v>20</v>
      </c>
      <c r="C1277" s="16">
        <v>20</v>
      </c>
      <c r="D1277" s="16" t="s">
        <v>10</v>
      </c>
      <c r="E1277" s="17">
        <v>2.0539999999999998</v>
      </c>
      <c r="F1277" s="18">
        <f>75700+1000</f>
        <v>76700</v>
      </c>
      <c r="N1277" s="21"/>
      <c r="O1277" s="22"/>
    </row>
    <row r="1278" spans="1:15" s="10" customFormat="1" x14ac:dyDescent="0.25">
      <c r="A1278" s="16">
        <v>325</v>
      </c>
      <c r="B1278" s="16">
        <v>20</v>
      </c>
      <c r="C1278" s="16">
        <v>20</v>
      </c>
      <c r="D1278" s="16" t="s">
        <v>2</v>
      </c>
      <c r="E1278" s="17">
        <f>5.093-1.883</f>
        <v>3.21</v>
      </c>
      <c r="F1278" s="18">
        <f>72700+3000+1000</f>
        <v>76700</v>
      </c>
      <c r="N1278" s="21"/>
      <c r="O1278" s="22"/>
    </row>
    <row r="1279" spans="1:15" s="10" customFormat="1" x14ac:dyDescent="0.25">
      <c r="A1279" s="16">
        <v>325</v>
      </c>
      <c r="B1279" s="16">
        <v>20</v>
      </c>
      <c r="C1279" s="16" t="s">
        <v>0</v>
      </c>
      <c r="D1279" s="16" t="s">
        <v>2</v>
      </c>
      <c r="E1279" s="17">
        <f>19.12-0.472-1.575-11.229-0.163-0.169-0.629</f>
        <v>4.8830000000000009</v>
      </c>
      <c r="F1279" s="18">
        <f>75700+3000+1000</f>
        <v>79700</v>
      </c>
      <c r="N1279" s="21"/>
      <c r="O1279" s="22"/>
    </row>
    <row r="1280" spans="1:15" s="10" customFormat="1" x14ac:dyDescent="0.25">
      <c r="A1280" s="16">
        <v>325</v>
      </c>
      <c r="B1280" s="16">
        <v>22</v>
      </c>
      <c r="C1280" s="16">
        <v>20</v>
      </c>
      <c r="D1280" s="16" t="s">
        <v>4</v>
      </c>
      <c r="E1280" s="17">
        <v>2.2400000000000002</v>
      </c>
      <c r="F1280" s="18">
        <v>117700</v>
      </c>
      <c r="N1280" s="21"/>
      <c r="O1280" s="22"/>
    </row>
    <row r="1281" spans="1:15" s="10" customFormat="1" x14ac:dyDescent="0.25">
      <c r="A1281" s="16">
        <v>325</v>
      </c>
      <c r="B1281" s="16">
        <v>22</v>
      </c>
      <c r="C1281" s="16" t="s">
        <v>0</v>
      </c>
      <c r="D1281" s="16" t="s">
        <v>2</v>
      </c>
      <c r="E1281" s="17">
        <f>5.516-0.51-2.022-0.51-0.338-0.229-0.663</f>
        <v>1.244</v>
      </c>
      <c r="F1281" s="18">
        <f>75700+3000+1000</f>
        <v>79700</v>
      </c>
      <c r="N1281" s="21"/>
      <c r="O1281" s="22"/>
    </row>
    <row r="1282" spans="1:15" s="10" customFormat="1" x14ac:dyDescent="0.25">
      <c r="A1282" s="16">
        <v>325</v>
      </c>
      <c r="B1282" s="16">
        <v>22</v>
      </c>
      <c r="C1282" s="16" t="s">
        <v>30</v>
      </c>
      <c r="D1282" s="16" t="s">
        <v>2</v>
      </c>
      <c r="E1282" s="17">
        <v>2.2210000000000001</v>
      </c>
      <c r="F1282" s="18">
        <f>89700+1000</f>
        <v>90700</v>
      </c>
      <c r="N1282" s="21"/>
      <c r="O1282" s="22"/>
    </row>
    <row r="1283" spans="1:15" s="10" customFormat="1" x14ac:dyDescent="0.25">
      <c r="A1283" s="16">
        <v>325</v>
      </c>
      <c r="B1283" s="16">
        <v>22</v>
      </c>
      <c r="C1283" s="16" t="s">
        <v>30</v>
      </c>
      <c r="D1283" s="16" t="s">
        <v>2</v>
      </c>
      <c r="E1283" s="17">
        <f>1.805-0.081-0.266</f>
        <v>1.458</v>
      </c>
      <c r="F1283" s="18">
        <f>89700+1000</f>
        <v>90700</v>
      </c>
      <c r="N1283" s="21"/>
      <c r="O1283" s="22"/>
    </row>
    <row r="1284" spans="1:15" s="10" customFormat="1" x14ac:dyDescent="0.25">
      <c r="A1284" s="16">
        <v>325</v>
      </c>
      <c r="B1284" s="16">
        <v>22</v>
      </c>
      <c r="C1284" s="16" t="s">
        <v>8</v>
      </c>
      <c r="D1284" s="16" t="s">
        <v>9</v>
      </c>
      <c r="E1284" s="17">
        <v>4.75</v>
      </c>
      <c r="F1284" s="18">
        <v>350000</v>
      </c>
      <c r="N1284" s="21"/>
      <c r="O1284" s="22"/>
    </row>
    <row r="1285" spans="1:15" s="10" customFormat="1" x14ac:dyDescent="0.25">
      <c r="A1285" s="16">
        <v>325</v>
      </c>
      <c r="B1285" s="16">
        <v>22</v>
      </c>
      <c r="C1285" s="16" t="s">
        <v>8</v>
      </c>
      <c r="D1285" s="16" t="s">
        <v>9</v>
      </c>
      <c r="E1285" s="17">
        <v>0.68799999999999994</v>
      </c>
      <c r="F1285" s="18">
        <v>350000</v>
      </c>
      <c r="N1285" s="21"/>
      <c r="O1285" s="22"/>
    </row>
    <row r="1286" spans="1:15" s="10" customFormat="1" x14ac:dyDescent="0.25">
      <c r="A1286" s="16">
        <v>325</v>
      </c>
      <c r="B1286" s="16">
        <v>24</v>
      </c>
      <c r="C1286" s="16">
        <v>20</v>
      </c>
      <c r="D1286" s="16" t="s">
        <v>2</v>
      </c>
      <c r="E1286" s="17">
        <f>0.18-0.059</f>
        <v>0.121</v>
      </c>
      <c r="F1286" s="18">
        <f>72700+3000+1000</f>
        <v>76700</v>
      </c>
      <c r="N1286" s="21"/>
      <c r="O1286" s="22"/>
    </row>
    <row r="1287" spans="1:15" s="10" customFormat="1" x14ac:dyDescent="0.25">
      <c r="A1287" s="16">
        <v>325</v>
      </c>
      <c r="B1287" s="16">
        <v>24</v>
      </c>
      <c r="C1287" s="16" t="s">
        <v>30</v>
      </c>
      <c r="D1287" s="16" t="s">
        <v>2</v>
      </c>
      <c r="E1287" s="17">
        <v>5.4249999999999998</v>
      </c>
      <c r="F1287" s="18">
        <f>89700+1000</f>
        <v>90700</v>
      </c>
      <c r="N1287" s="21"/>
      <c r="O1287" s="22"/>
    </row>
    <row r="1288" spans="1:15" s="10" customFormat="1" x14ac:dyDescent="0.25">
      <c r="A1288" s="16">
        <v>325</v>
      </c>
      <c r="B1288" s="19">
        <v>25</v>
      </c>
      <c r="C1288" s="16">
        <v>20</v>
      </c>
      <c r="D1288" s="16" t="s">
        <v>2</v>
      </c>
      <c r="E1288" s="17">
        <f>2.563-1.286-0.102-0.635</f>
        <v>0.54</v>
      </c>
      <c r="F1288" s="18">
        <f>72700+3000+1000</f>
        <v>76700</v>
      </c>
      <c r="N1288" s="21"/>
      <c r="O1288" s="22"/>
    </row>
    <row r="1289" spans="1:15" s="10" customFormat="1" x14ac:dyDescent="0.25">
      <c r="A1289" s="16">
        <v>325</v>
      </c>
      <c r="B1289" s="16">
        <v>25</v>
      </c>
      <c r="C1289" s="16">
        <v>20</v>
      </c>
      <c r="D1289" s="16" t="s">
        <v>4</v>
      </c>
      <c r="E1289" s="17">
        <f>11.212-1.166-2.04</f>
        <v>8.0060000000000002</v>
      </c>
      <c r="F1289" s="18">
        <v>117700</v>
      </c>
      <c r="N1289" s="21"/>
      <c r="O1289" s="22"/>
    </row>
    <row r="1290" spans="1:15" s="10" customFormat="1" x14ac:dyDescent="0.25">
      <c r="A1290" s="16">
        <v>325</v>
      </c>
      <c r="B1290" s="16">
        <v>25</v>
      </c>
      <c r="C1290" s="16" t="s">
        <v>0</v>
      </c>
      <c r="D1290" s="16" t="s">
        <v>2</v>
      </c>
      <c r="E1290" s="17">
        <v>4.4999999999999998E-2</v>
      </c>
      <c r="F1290" s="18">
        <f>75700+3000+1000</f>
        <v>79700</v>
      </c>
      <c r="N1290" s="21"/>
      <c r="O1290" s="22"/>
    </row>
    <row r="1291" spans="1:15" s="10" customFormat="1" x14ac:dyDescent="0.25">
      <c r="A1291" s="16">
        <v>325</v>
      </c>
      <c r="B1291" s="16">
        <v>25</v>
      </c>
      <c r="C1291" s="16" t="s">
        <v>0</v>
      </c>
      <c r="D1291" s="16" t="s">
        <v>85</v>
      </c>
      <c r="E1291" s="17">
        <v>9.57</v>
      </c>
      <c r="F1291" s="18">
        <f>75700+3000+1000</f>
        <v>79700</v>
      </c>
      <c r="N1291" s="21"/>
      <c r="O1291" s="22"/>
    </row>
    <row r="1292" spans="1:15" s="10" customFormat="1" x14ac:dyDescent="0.25">
      <c r="A1292" s="16">
        <v>325</v>
      </c>
      <c r="B1292" s="16">
        <v>25</v>
      </c>
      <c r="C1292" s="16" t="s">
        <v>30</v>
      </c>
      <c r="D1292" s="16" t="s">
        <v>2</v>
      </c>
      <c r="E1292" s="17">
        <v>5</v>
      </c>
      <c r="F1292" s="18">
        <f>89700+1000</f>
        <v>90700</v>
      </c>
      <c r="N1292" s="21"/>
      <c r="O1292" s="22"/>
    </row>
    <row r="1293" spans="1:15" s="10" customFormat="1" x14ac:dyDescent="0.25">
      <c r="A1293" s="16">
        <v>325</v>
      </c>
      <c r="B1293" s="16">
        <v>25</v>
      </c>
      <c r="C1293" s="16" t="s">
        <v>5</v>
      </c>
      <c r="D1293" s="16" t="s">
        <v>2</v>
      </c>
      <c r="E1293" s="17">
        <f>5.622-0.187-0.193-0.115-0.291</f>
        <v>4.8359999999999994</v>
      </c>
      <c r="F1293" s="18">
        <f>125700+1000</f>
        <v>126700</v>
      </c>
      <c r="N1293" s="21"/>
      <c r="O1293" s="22"/>
    </row>
    <row r="1294" spans="1:15" s="10" customFormat="1" x14ac:dyDescent="0.25">
      <c r="A1294" s="16">
        <v>325</v>
      </c>
      <c r="B1294" s="16">
        <v>26</v>
      </c>
      <c r="C1294" s="16">
        <v>20</v>
      </c>
      <c r="D1294" s="16" t="s">
        <v>10</v>
      </c>
      <c r="E1294" s="17">
        <v>1.546</v>
      </c>
      <c r="F1294" s="18">
        <f>75700+1000</f>
        <v>76700</v>
      </c>
      <c r="N1294" s="21"/>
      <c r="O1294" s="22"/>
    </row>
    <row r="1295" spans="1:15" s="10" customFormat="1" x14ac:dyDescent="0.25">
      <c r="A1295" s="16">
        <v>325</v>
      </c>
      <c r="B1295" s="16">
        <v>26</v>
      </c>
      <c r="C1295" s="16">
        <v>20</v>
      </c>
      <c r="D1295" s="16" t="s">
        <v>10</v>
      </c>
      <c r="E1295" s="17">
        <f>0.8-0.593</f>
        <v>0.20700000000000007</v>
      </c>
      <c r="F1295" s="18">
        <f>75700+1000</f>
        <v>76700</v>
      </c>
      <c r="N1295" s="21"/>
      <c r="O1295" s="22"/>
    </row>
    <row r="1296" spans="1:15" s="10" customFormat="1" x14ac:dyDescent="0.25">
      <c r="A1296" s="16">
        <v>325</v>
      </c>
      <c r="B1296" s="16">
        <v>28</v>
      </c>
      <c r="C1296" s="16" t="s">
        <v>0</v>
      </c>
      <c r="D1296" s="16" t="s">
        <v>2</v>
      </c>
      <c r="E1296" s="17">
        <f>6.095-0.454-0.659-1.075-0.615-0.906-0.626-0.313-0.644-0.718+0.005</f>
        <v>8.9999999999999858E-2</v>
      </c>
      <c r="F1296" s="18">
        <f>75700+3000+1000</f>
        <v>79700</v>
      </c>
      <c r="N1296" s="21"/>
      <c r="O1296" s="22"/>
    </row>
    <row r="1297" spans="1:15" s="10" customFormat="1" x14ac:dyDescent="0.25">
      <c r="A1297" s="16">
        <v>325</v>
      </c>
      <c r="B1297" s="16">
        <v>28</v>
      </c>
      <c r="C1297" s="16" t="s">
        <v>0</v>
      </c>
      <c r="D1297" s="16" t="s">
        <v>2</v>
      </c>
      <c r="E1297" s="17">
        <f>6.37-0.675</f>
        <v>5.6950000000000003</v>
      </c>
      <c r="F1297" s="18">
        <f>75700+3000+1000</f>
        <v>79700</v>
      </c>
      <c r="N1297" s="21"/>
      <c r="O1297" s="22"/>
    </row>
    <row r="1298" spans="1:15" s="10" customFormat="1" x14ac:dyDescent="0.25">
      <c r="A1298" s="16">
        <v>325</v>
      </c>
      <c r="B1298" s="16">
        <v>30</v>
      </c>
      <c r="C1298" s="16">
        <v>20</v>
      </c>
      <c r="D1298" s="16" t="s">
        <v>2</v>
      </c>
      <c r="E1298" s="17">
        <v>1.911</v>
      </c>
      <c r="F1298" s="18">
        <f>75700+1000</f>
        <v>76700</v>
      </c>
      <c r="N1298" s="21"/>
      <c r="O1298" s="22"/>
    </row>
    <row r="1299" spans="1:15" s="10" customFormat="1" x14ac:dyDescent="0.25">
      <c r="A1299" s="16">
        <v>325</v>
      </c>
      <c r="B1299" s="16">
        <v>30</v>
      </c>
      <c r="C1299" s="16">
        <v>20</v>
      </c>
      <c r="D1299" s="16" t="s">
        <v>2</v>
      </c>
      <c r="E1299" s="17">
        <v>2.073</v>
      </c>
      <c r="F1299" s="18">
        <v>76700</v>
      </c>
      <c r="N1299" s="21"/>
      <c r="O1299" s="22"/>
    </row>
    <row r="1300" spans="1:15" s="10" customFormat="1" x14ac:dyDescent="0.25">
      <c r="A1300" s="16">
        <v>325</v>
      </c>
      <c r="B1300" s="16">
        <v>30</v>
      </c>
      <c r="C1300" s="16" t="s">
        <v>0</v>
      </c>
      <c r="D1300" s="16" t="s">
        <v>2</v>
      </c>
      <c r="E1300" s="17">
        <f>3.058-1.705</f>
        <v>1.3529999999999998</v>
      </c>
      <c r="F1300" s="18">
        <v>79700</v>
      </c>
      <c r="N1300" s="21"/>
      <c r="O1300" s="22"/>
    </row>
    <row r="1301" spans="1:15" s="10" customFormat="1" x14ac:dyDescent="0.25">
      <c r="A1301" s="16">
        <v>325</v>
      </c>
      <c r="B1301" s="16">
        <v>30</v>
      </c>
      <c r="C1301" s="16" t="s">
        <v>0</v>
      </c>
      <c r="D1301" s="16" t="s">
        <v>85</v>
      </c>
      <c r="E1301" s="17">
        <v>10</v>
      </c>
      <c r="F1301" s="18">
        <v>79700</v>
      </c>
      <c r="N1301" s="21"/>
      <c r="O1301" s="22"/>
    </row>
    <row r="1302" spans="1:15" s="10" customFormat="1" x14ac:dyDescent="0.25">
      <c r="A1302" s="16">
        <v>325</v>
      </c>
      <c r="B1302" s="16">
        <v>32</v>
      </c>
      <c r="C1302" s="16">
        <v>35</v>
      </c>
      <c r="D1302" s="16" t="s">
        <v>2</v>
      </c>
      <c r="E1302" s="17">
        <f>2.29-1.629+0.001</f>
        <v>0.66200000000000003</v>
      </c>
      <c r="F1302" s="18">
        <f>94700+1000</f>
        <v>95700</v>
      </c>
      <c r="N1302" s="21"/>
      <c r="O1302" s="22"/>
    </row>
    <row r="1303" spans="1:15" s="10" customFormat="1" x14ac:dyDescent="0.25">
      <c r="A1303" s="16">
        <v>325</v>
      </c>
      <c r="B1303" s="16">
        <v>32</v>
      </c>
      <c r="C1303" s="16">
        <v>35</v>
      </c>
      <c r="D1303" s="16" t="s">
        <v>2</v>
      </c>
      <c r="E1303" s="17">
        <v>4.17</v>
      </c>
      <c r="F1303" s="18">
        <v>95700</v>
      </c>
      <c r="N1303" s="21"/>
      <c r="O1303" s="22"/>
    </row>
    <row r="1304" spans="1:15" s="10" customFormat="1" x14ac:dyDescent="0.25">
      <c r="A1304" s="16">
        <v>325</v>
      </c>
      <c r="B1304" s="16">
        <v>32</v>
      </c>
      <c r="C1304" s="16" t="s">
        <v>5</v>
      </c>
      <c r="D1304" s="16" t="s">
        <v>2</v>
      </c>
      <c r="E1304" s="17">
        <f>10.43-2.114-0.17</f>
        <v>8.145999999999999</v>
      </c>
      <c r="F1304" s="18">
        <v>200000</v>
      </c>
      <c r="N1304" s="21"/>
      <c r="O1304" s="22"/>
    </row>
    <row r="1305" spans="1:15" s="10" customFormat="1" x14ac:dyDescent="0.25">
      <c r="A1305" s="16">
        <v>325</v>
      </c>
      <c r="B1305" s="16">
        <v>34</v>
      </c>
      <c r="C1305" s="16">
        <v>20</v>
      </c>
      <c r="D1305" s="16" t="s">
        <v>4</v>
      </c>
      <c r="E1305" s="17">
        <v>1.776</v>
      </c>
      <c r="F1305" s="18">
        <f>125700+1000</f>
        <v>126700</v>
      </c>
      <c r="N1305" s="21"/>
      <c r="O1305" s="22"/>
    </row>
    <row r="1306" spans="1:15" s="10" customFormat="1" x14ac:dyDescent="0.25">
      <c r="A1306" s="16">
        <v>325</v>
      </c>
      <c r="B1306" s="16">
        <v>36</v>
      </c>
      <c r="C1306" s="16">
        <v>20</v>
      </c>
      <c r="D1306" s="16" t="s">
        <v>2</v>
      </c>
      <c r="E1306" s="17">
        <f>0.559-0.265+0.001</f>
        <v>0.29500000000000004</v>
      </c>
      <c r="F1306" s="18">
        <f>89700+3000+1000</f>
        <v>93700</v>
      </c>
      <c r="N1306" s="21"/>
      <c r="O1306" s="22"/>
    </row>
    <row r="1307" spans="1:15" s="10" customFormat="1" x14ac:dyDescent="0.25">
      <c r="A1307" s="16">
        <v>325</v>
      </c>
      <c r="B1307" s="16">
        <v>36</v>
      </c>
      <c r="C1307" s="16">
        <v>20</v>
      </c>
      <c r="D1307" s="16" t="s">
        <v>85</v>
      </c>
      <c r="E1307" s="17">
        <v>11.084</v>
      </c>
      <c r="F1307" s="18">
        <f>92700+1000</f>
        <v>93700</v>
      </c>
      <c r="N1307" s="21"/>
      <c r="O1307" s="22"/>
    </row>
    <row r="1308" spans="1:15" s="10" customFormat="1" x14ac:dyDescent="0.25">
      <c r="A1308" s="16">
        <v>325</v>
      </c>
      <c r="B1308" s="16">
        <v>36</v>
      </c>
      <c r="C1308" s="16">
        <v>35</v>
      </c>
      <c r="D1308" s="16" t="s">
        <v>2</v>
      </c>
      <c r="E1308" s="17">
        <f>5.668-1.345</f>
        <v>4.3230000000000004</v>
      </c>
      <c r="F1308" s="18">
        <f>91700+3000+1000</f>
        <v>95700</v>
      </c>
      <c r="N1308" s="21"/>
      <c r="O1308" s="22"/>
    </row>
    <row r="1309" spans="1:15" s="10" customFormat="1" x14ac:dyDescent="0.25">
      <c r="A1309" s="16">
        <v>325</v>
      </c>
      <c r="B1309" s="16">
        <v>36</v>
      </c>
      <c r="C1309" s="16">
        <v>35</v>
      </c>
      <c r="D1309" s="16" t="s">
        <v>2</v>
      </c>
      <c r="E1309" s="17">
        <f>10.599-0.65-3.369</f>
        <v>6.58</v>
      </c>
      <c r="F1309" s="18">
        <f>91700+3000+1000</f>
        <v>95700</v>
      </c>
      <c r="N1309" s="21"/>
      <c r="O1309" s="22"/>
    </row>
    <row r="1310" spans="1:15" s="10" customFormat="1" x14ac:dyDescent="0.25">
      <c r="A1310" s="16">
        <v>325</v>
      </c>
      <c r="B1310" s="16">
        <v>36</v>
      </c>
      <c r="C1310" s="16" t="s">
        <v>0</v>
      </c>
      <c r="D1310" s="16" t="s">
        <v>85</v>
      </c>
      <c r="E1310" s="17">
        <v>10</v>
      </c>
      <c r="F1310" s="18">
        <v>97700</v>
      </c>
      <c r="N1310" s="21"/>
      <c r="O1310" s="22"/>
    </row>
    <row r="1311" spans="1:15" s="10" customFormat="1" x14ac:dyDescent="0.25">
      <c r="A1311" s="16">
        <v>325</v>
      </c>
      <c r="B1311" s="16">
        <v>38</v>
      </c>
      <c r="C1311" s="16">
        <v>20</v>
      </c>
      <c r="D1311" s="16" t="s">
        <v>10</v>
      </c>
      <c r="E1311" s="17">
        <f>2.7-0.196-0.331-0.606</f>
        <v>1.5670000000000002</v>
      </c>
      <c r="F1311" s="18">
        <f>59700+3000+1000</f>
        <v>63700</v>
      </c>
      <c r="N1311" s="21"/>
      <c r="O1311" s="22"/>
    </row>
    <row r="1312" spans="1:15" s="10" customFormat="1" x14ac:dyDescent="0.25">
      <c r="A1312" s="16">
        <v>325</v>
      </c>
      <c r="B1312" s="16">
        <v>38</v>
      </c>
      <c r="C1312" s="16">
        <v>20</v>
      </c>
      <c r="D1312" s="16" t="s">
        <v>2</v>
      </c>
      <c r="E1312" s="17">
        <v>0.60699999999999998</v>
      </c>
      <c r="F1312" s="18">
        <v>95700</v>
      </c>
      <c r="N1312" s="21"/>
      <c r="O1312" s="22"/>
    </row>
    <row r="1313" spans="1:15" s="10" customFormat="1" x14ac:dyDescent="0.25">
      <c r="A1313" s="16">
        <v>325</v>
      </c>
      <c r="B1313" s="16">
        <v>40</v>
      </c>
      <c r="C1313" s="16">
        <v>20</v>
      </c>
      <c r="D1313" s="16" t="s">
        <v>2</v>
      </c>
      <c r="E1313" s="17">
        <f>16.251-2.591-5.105</f>
        <v>8.5549999999999997</v>
      </c>
      <c r="F1313" s="18">
        <f>89700+3000+1000</f>
        <v>93700</v>
      </c>
      <c r="N1313" s="21"/>
      <c r="O1313" s="22"/>
    </row>
    <row r="1314" spans="1:15" s="10" customFormat="1" x14ac:dyDescent="0.25">
      <c r="A1314" s="16">
        <v>325</v>
      </c>
      <c r="B1314" s="16">
        <v>40</v>
      </c>
      <c r="C1314" s="16">
        <v>45</v>
      </c>
      <c r="D1314" s="16" t="s">
        <v>2</v>
      </c>
      <c r="E1314" s="17">
        <f>5.345-2.08-0.974</f>
        <v>2.2909999999999995</v>
      </c>
      <c r="F1314" s="18">
        <f>91700+3000+1000</f>
        <v>95700</v>
      </c>
      <c r="N1314" s="21"/>
      <c r="O1314" s="22"/>
    </row>
    <row r="1315" spans="1:15" s="10" customFormat="1" x14ac:dyDescent="0.25">
      <c r="A1315" s="16">
        <v>325</v>
      </c>
      <c r="B1315" s="16">
        <v>40</v>
      </c>
      <c r="C1315" s="16">
        <v>45</v>
      </c>
      <c r="D1315" s="16" t="s">
        <v>2</v>
      </c>
      <c r="E1315" s="17">
        <f>10.376-0.152-1.444-0.152</f>
        <v>8.6280000000000019</v>
      </c>
      <c r="F1315" s="18">
        <f>91700+3000+1000</f>
        <v>95700</v>
      </c>
      <c r="N1315" s="21"/>
      <c r="O1315" s="22"/>
    </row>
    <row r="1316" spans="1:15" s="10" customFormat="1" x14ac:dyDescent="0.25">
      <c r="A1316" s="16">
        <v>325</v>
      </c>
      <c r="B1316" s="16">
        <v>40</v>
      </c>
      <c r="C1316" s="16" t="s">
        <v>0</v>
      </c>
      <c r="D1316" s="16" t="s">
        <v>85</v>
      </c>
      <c r="E1316" s="17">
        <v>10</v>
      </c>
      <c r="F1316" s="18">
        <v>97700</v>
      </c>
      <c r="N1316" s="21"/>
      <c r="O1316" s="22"/>
    </row>
    <row r="1317" spans="1:15" s="10" customFormat="1" x14ac:dyDescent="0.25">
      <c r="A1317" s="16">
        <v>325</v>
      </c>
      <c r="B1317" s="16">
        <v>40</v>
      </c>
      <c r="C1317" s="16" t="s">
        <v>5</v>
      </c>
      <c r="D1317" s="16" t="s">
        <v>2</v>
      </c>
      <c r="E1317" s="17">
        <v>4.55</v>
      </c>
      <c r="F1317" s="18">
        <v>200000</v>
      </c>
      <c r="N1317" s="21"/>
      <c r="O1317" s="22"/>
    </row>
    <row r="1318" spans="1:15" s="10" customFormat="1" x14ac:dyDescent="0.25">
      <c r="A1318" s="16">
        <v>325</v>
      </c>
      <c r="B1318" s="16">
        <v>40</v>
      </c>
      <c r="C1318" s="16" t="s">
        <v>5</v>
      </c>
      <c r="D1318" s="16" t="s">
        <v>2</v>
      </c>
      <c r="E1318" s="17">
        <f>6.53-0.369-1.002-0.717</f>
        <v>4.4420000000000011</v>
      </c>
      <c r="F1318" s="18">
        <v>200000</v>
      </c>
      <c r="N1318" s="21"/>
      <c r="O1318" s="22"/>
    </row>
    <row r="1319" spans="1:15" s="10" customFormat="1" x14ac:dyDescent="0.25">
      <c r="A1319" s="16">
        <v>325</v>
      </c>
      <c r="B1319" s="16">
        <v>40</v>
      </c>
      <c r="C1319" s="16">
        <v>20</v>
      </c>
      <c r="D1319" s="16" t="s">
        <v>2</v>
      </c>
      <c r="E1319" s="17">
        <v>0.748</v>
      </c>
      <c r="F1319" s="18">
        <v>95700</v>
      </c>
      <c r="N1319" s="21"/>
      <c r="O1319" s="22"/>
    </row>
    <row r="1320" spans="1:15" s="10" customFormat="1" x14ac:dyDescent="0.25">
      <c r="A1320" s="16">
        <v>325</v>
      </c>
      <c r="B1320" s="16">
        <v>45</v>
      </c>
      <c r="C1320" s="16">
        <v>20</v>
      </c>
      <c r="D1320" s="16" t="s">
        <v>85</v>
      </c>
      <c r="E1320" s="17">
        <v>8.9890000000000008</v>
      </c>
      <c r="F1320" s="18">
        <f>92700+1000</f>
        <v>93700</v>
      </c>
      <c r="N1320" s="21"/>
      <c r="O1320" s="22"/>
    </row>
    <row r="1321" spans="1:15" s="10" customFormat="1" x14ac:dyDescent="0.25">
      <c r="A1321" s="16">
        <v>325</v>
      </c>
      <c r="B1321" s="16">
        <v>45</v>
      </c>
      <c r="C1321" s="16">
        <v>20</v>
      </c>
      <c r="D1321" s="16" t="s">
        <v>85</v>
      </c>
      <c r="E1321" s="17">
        <v>2.258</v>
      </c>
      <c r="F1321" s="18">
        <f>92700+1000</f>
        <v>93700</v>
      </c>
      <c r="N1321" s="21"/>
      <c r="O1321" s="22"/>
    </row>
    <row r="1322" spans="1:15" s="10" customFormat="1" x14ac:dyDescent="0.25">
      <c r="A1322" s="16">
        <v>325</v>
      </c>
      <c r="B1322" s="16">
        <v>45</v>
      </c>
      <c r="C1322" s="16">
        <v>35</v>
      </c>
      <c r="D1322" s="16" t="s">
        <v>2</v>
      </c>
      <c r="E1322" s="17">
        <f>20.549-2.081-8.149-2.046-2.068</f>
        <v>6.2050000000000018</v>
      </c>
      <c r="F1322" s="18">
        <f>91700+3000+1000</f>
        <v>95700</v>
      </c>
      <c r="N1322" s="21"/>
      <c r="O1322" s="22"/>
    </row>
    <row r="1323" spans="1:15" s="10" customFormat="1" x14ac:dyDescent="0.25">
      <c r="A1323" s="16">
        <v>325</v>
      </c>
      <c r="B1323" s="16">
        <v>45</v>
      </c>
      <c r="C1323" s="16">
        <v>35</v>
      </c>
      <c r="D1323" s="16" t="s">
        <v>2</v>
      </c>
      <c r="E1323" s="17">
        <f>9.758-1.919-0.644-1.976-1.301</f>
        <v>3.9179999999999984</v>
      </c>
      <c r="F1323" s="18">
        <f>91700+3000+1000</f>
        <v>95700</v>
      </c>
      <c r="N1323" s="21"/>
      <c r="O1323" s="22"/>
    </row>
    <row r="1324" spans="1:15" s="10" customFormat="1" x14ac:dyDescent="0.25">
      <c r="A1324" s="16">
        <v>325</v>
      </c>
      <c r="B1324" s="16">
        <v>45</v>
      </c>
      <c r="C1324" s="16">
        <v>35</v>
      </c>
      <c r="D1324" s="16" t="s">
        <v>2</v>
      </c>
      <c r="E1324" s="17">
        <f>13.856-2.507-2.398</f>
        <v>8.9510000000000005</v>
      </c>
      <c r="F1324" s="18">
        <f>91700+3000+1000</f>
        <v>95700</v>
      </c>
      <c r="N1324" s="21"/>
      <c r="O1324" s="22"/>
    </row>
    <row r="1325" spans="1:15" s="10" customFormat="1" x14ac:dyDescent="0.25">
      <c r="A1325" s="16">
        <v>325</v>
      </c>
      <c r="B1325" s="16">
        <v>45</v>
      </c>
      <c r="C1325" s="16">
        <v>35</v>
      </c>
      <c r="D1325" s="16" t="s">
        <v>85</v>
      </c>
      <c r="E1325" s="17">
        <v>19.777999999999999</v>
      </c>
      <c r="F1325" s="18">
        <f>94700+1000</f>
        <v>95700</v>
      </c>
      <c r="N1325" s="21"/>
      <c r="O1325" s="22"/>
    </row>
    <row r="1326" spans="1:15" s="10" customFormat="1" x14ac:dyDescent="0.25">
      <c r="A1326" s="16">
        <v>325</v>
      </c>
      <c r="B1326" s="16">
        <v>45</v>
      </c>
      <c r="C1326" s="16" t="s">
        <v>5</v>
      </c>
      <c r="D1326" s="16" t="s">
        <v>2</v>
      </c>
      <c r="E1326" s="17">
        <f>9.56-0.251-1.578-0.266-0.138</f>
        <v>7.3270000000000008</v>
      </c>
      <c r="F1326" s="18">
        <v>200000</v>
      </c>
      <c r="N1326" s="21"/>
      <c r="O1326" s="22"/>
    </row>
    <row r="1327" spans="1:15" s="10" customFormat="1" x14ac:dyDescent="0.25">
      <c r="A1327" s="16">
        <v>325</v>
      </c>
      <c r="B1327" s="16">
        <v>45</v>
      </c>
      <c r="C1327" s="16" t="s">
        <v>11</v>
      </c>
      <c r="D1327" s="16" t="s">
        <v>4</v>
      </c>
      <c r="E1327" s="17">
        <v>3.9169999999999998</v>
      </c>
      <c r="F1327" s="18">
        <v>250000</v>
      </c>
      <c r="N1327" s="21"/>
      <c r="O1327" s="22"/>
    </row>
    <row r="1328" spans="1:15" s="10" customFormat="1" x14ac:dyDescent="0.25">
      <c r="A1328" s="16">
        <v>325</v>
      </c>
      <c r="B1328" s="16">
        <v>50</v>
      </c>
      <c r="C1328" s="16">
        <v>20</v>
      </c>
      <c r="D1328" s="16" t="s">
        <v>2</v>
      </c>
      <c r="E1328" s="17">
        <f>6.069-2.445-0.207-0.326</f>
        <v>3.0910000000000002</v>
      </c>
      <c r="F1328" s="18">
        <f>89700+3000+1000</f>
        <v>93700</v>
      </c>
      <c r="N1328" s="21"/>
      <c r="O1328" s="22"/>
    </row>
    <row r="1329" spans="1:15" s="10" customFormat="1" x14ac:dyDescent="0.25">
      <c r="A1329" s="16">
        <v>325</v>
      </c>
      <c r="B1329" s="16">
        <v>50</v>
      </c>
      <c r="C1329" s="16">
        <v>20</v>
      </c>
      <c r="D1329" s="16" t="s">
        <v>2</v>
      </c>
      <c r="E1329" s="17">
        <v>12.4</v>
      </c>
      <c r="F1329" s="18">
        <f>92700+1000</f>
        <v>93700</v>
      </c>
      <c r="N1329" s="21"/>
      <c r="O1329" s="22"/>
    </row>
    <row r="1330" spans="1:15" s="10" customFormat="1" x14ac:dyDescent="0.25">
      <c r="A1330" s="16">
        <v>325</v>
      </c>
      <c r="B1330" s="16">
        <v>50</v>
      </c>
      <c r="C1330" s="16">
        <v>35</v>
      </c>
      <c r="D1330" s="16" t="s">
        <v>2</v>
      </c>
      <c r="E1330" s="17">
        <f>6.393-1.025</f>
        <v>5.3680000000000003</v>
      </c>
      <c r="F1330" s="18">
        <f>91700+3000+1000</f>
        <v>95700</v>
      </c>
      <c r="N1330" s="21"/>
      <c r="O1330" s="22"/>
    </row>
    <row r="1331" spans="1:15" s="10" customFormat="1" x14ac:dyDescent="0.25">
      <c r="A1331" s="16">
        <v>325</v>
      </c>
      <c r="B1331" s="16">
        <v>50</v>
      </c>
      <c r="C1331" s="16">
        <v>35</v>
      </c>
      <c r="D1331" s="16" t="s">
        <v>2</v>
      </c>
      <c r="E1331" s="17">
        <f>10.793-0.353</f>
        <v>10.44</v>
      </c>
      <c r="F1331" s="18">
        <f>91700+3000+1000</f>
        <v>95700</v>
      </c>
      <c r="N1331" s="21"/>
      <c r="O1331" s="22"/>
    </row>
    <row r="1332" spans="1:15" s="10" customFormat="1" x14ac:dyDescent="0.25">
      <c r="A1332" s="16">
        <v>325</v>
      </c>
      <c r="B1332" s="16">
        <v>50</v>
      </c>
      <c r="C1332" s="16" t="s">
        <v>0</v>
      </c>
      <c r="D1332" s="16" t="s">
        <v>2</v>
      </c>
      <c r="E1332" s="17">
        <f>4.545-0.707-0.537-0.38-0.97-0.045-0.208</f>
        <v>1.6980000000000004</v>
      </c>
      <c r="F1332" s="18">
        <f>93700+3000+1000</f>
        <v>97700</v>
      </c>
      <c r="N1332" s="21"/>
      <c r="O1332" s="22"/>
    </row>
    <row r="1333" spans="1:15" s="10" customFormat="1" x14ac:dyDescent="0.25">
      <c r="A1333" s="16">
        <v>325</v>
      </c>
      <c r="B1333" s="16">
        <v>50</v>
      </c>
      <c r="C1333" s="16" t="s">
        <v>0</v>
      </c>
      <c r="D1333" s="16" t="s">
        <v>2</v>
      </c>
      <c r="E1333" s="17">
        <v>9.3740000000000006</v>
      </c>
      <c r="F1333" s="18">
        <f>93700+3000+1000</f>
        <v>97700</v>
      </c>
      <c r="N1333" s="21"/>
      <c r="O1333" s="22"/>
    </row>
    <row r="1334" spans="1:15" s="10" customFormat="1" x14ac:dyDescent="0.25">
      <c r="A1334" s="16">
        <v>325</v>
      </c>
      <c r="B1334" s="16">
        <v>50</v>
      </c>
      <c r="C1334" s="16" t="s">
        <v>15</v>
      </c>
      <c r="D1334" s="16" t="s">
        <v>4</v>
      </c>
      <c r="E1334" s="17">
        <v>1.96</v>
      </c>
      <c r="F1334" s="18">
        <v>140700</v>
      </c>
      <c r="N1334" s="21"/>
      <c r="O1334" s="22"/>
    </row>
    <row r="1335" spans="1:15" s="10" customFormat="1" x14ac:dyDescent="0.25">
      <c r="A1335" s="16">
        <v>325</v>
      </c>
      <c r="B1335" s="16">
        <v>50</v>
      </c>
      <c r="C1335" s="16">
        <v>20</v>
      </c>
      <c r="D1335" s="16" t="s">
        <v>2</v>
      </c>
      <c r="E1335" s="17">
        <v>0.77300000000000002</v>
      </c>
      <c r="F1335" s="18">
        <v>95700</v>
      </c>
      <c r="N1335" s="21"/>
      <c r="O1335" s="22"/>
    </row>
    <row r="1336" spans="1:15" s="10" customFormat="1" x14ac:dyDescent="0.25">
      <c r="A1336" s="16">
        <v>325</v>
      </c>
      <c r="B1336" s="16">
        <v>50</v>
      </c>
      <c r="C1336" s="16">
        <v>20</v>
      </c>
      <c r="D1336" s="16" t="s">
        <v>2</v>
      </c>
      <c r="E1336" s="17">
        <v>1.147</v>
      </c>
      <c r="F1336" s="18">
        <v>95700</v>
      </c>
      <c r="N1336" s="21"/>
      <c r="O1336" s="22"/>
    </row>
    <row r="1337" spans="1:15" s="10" customFormat="1" x14ac:dyDescent="0.25">
      <c r="A1337" s="16">
        <v>325</v>
      </c>
      <c r="B1337" s="16">
        <v>56</v>
      </c>
      <c r="C1337" s="16" t="s">
        <v>5</v>
      </c>
      <c r="D1337" s="16" t="s">
        <v>2</v>
      </c>
      <c r="E1337" s="17">
        <f>9.635-2.339-0.839-2.488</f>
        <v>3.968999999999999</v>
      </c>
      <c r="F1337" s="18">
        <v>200000</v>
      </c>
      <c r="N1337" s="21"/>
      <c r="O1337" s="22"/>
    </row>
    <row r="1338" spans="1:15" s="10" customFormat="1" x14ac:dyDescent="0.25">
      <c r="A1338" s="16">
        <v>325</v>
      </c>
      <c r="B1338" s="16">
        <v>56</v>
      </c>
      <c r="C1338" s="16" t="s">
        <v>5</v>
      </c>
      <c r="D1338" s="16" t="s">
        <v>2</v>
      </c>
      <c r="E1338" s="17">
        <f>10.791-2.196-2.166-0.623-0.617-0.658-4.287+0.013</f>
        <v>0.25699999999999978</v>
      </c>
      <c r="F1338" s="18">
        <v>200000</v>
      </c>
      <c r="N1338" s="21"/>
      <c r="O1338" s="22"/>
    </row>
    <row r="1339" spans="1:15" s="10" customFormat="1" x14ac:dyDescent="0.25">
      <c r="A1339" s="16">
        <v>325</v>
      </c>
      <c r="B1339" s="16">
        <v>56</v>
      </c>
      <c r="C1339" s="16" t="s">
        <v>5</v>
      </c>
      <c r="D1339" s="16" t="s">
        <v>2</v>
      </c>
      <c r="E1339" s="17">
        <v>5.9960000000000004</v>
      </c>
      <c r="F1339" s="18">
        <v>200000</v>
      </c>
      <c r="N1339" s="21"/>
      <c r="O1339" s="22"/>
    </row>
    <row r="1340" spans="1:15" s="10" customFormat="1" x14ac:dyDescent="0.25">
      <c r="A1340" s="16">
        <v>325</v>
      </c>
      <c r="B1340" s="16">
        <v>56</v>
      </c>
      <c r="C1340" s="16" t="s">
        <v>5</v>
      </c>
      <c r="D1340" s="16" t="s">
        <v>2</v>
      </c>
      <c r="E1340" s="17">
        <v>3.5609999999999999</v>
      </c>
      <c r="F1340" s="18">
        <v>200000</v>
      </c>
      <c r="N1340" s="21"/>
      <c r="O1340" s="22"/>
    </row>
    <row r="1341" spans="1:15" s="10" customFormat="1" x14ac:dyDescent="0.25">
      <c r="A1341" s="16">
        <v>325</v>
      </c>
      <c r="B1341" s="16">
        <v>56</v>
      </c>
      <c r="C1341" s="16" t="s">
        <v>3</v>
      </c>
      <c r="D1341" s="16" t="s">
        <v>4</v>
      </c>
      <c r="E1341" s="17">
        <f>1.799-0.319</f>
        <v>1.48</v>
      </c>
      <c r="F1341" s="18">
        <v>200000</v>
      </c>
      <c r="N1341" s="21"/>
      <c r="O1341" s="22"/>
    </row>
    <row r="1342" spans="1:15" s="10" customFormat="1" x14ac:dyDescent="0.25">
      <c r="A1342" s="16">
        <v>325</v>
      </c>
      <c r="B1342" s="16">
        <v>60</v>
      </c>
      <c r="C1342" s="16">
        <v>20</v>
      </c>
      <c r="D1342" s="16" t="s">
        <v>2</v>
      </c>
      <c r="E1342" s="17">
        <v>9.0960000000000001</v>
      </c>
      <c r="F1342" s="18">
        <f>89700+3000+1000</f>
        <v>93700</v>
      </c>
      <c r="N1342" s="21"/>
      <c r="O1342" s="22"/>
    </row>
    <row r="1343" spans="1:15" s="10" customFormat="1" x14ac:dyDescent="0.25">
      <c r="A1343" s="16">
        <v>325</v>
      </c>
      <c r="B1343" s="16">
        <v>60</v>
      </c>
      <c r="C1343" s="16">
        <v>45</v>
      </c>
      <c r="D1343" s="16" t="s">
        <v>2</v>
      </c>
      <c r="E1343" s="17">
        <f>10.752-1.886-1.913-2.22-2.271-0.125</f>
        <v>2.3370000000000006</v>
      </c>
      <c r="F1343" s="18">
        <f>91700+3000+1000</f>
        <v>95700</v>
      </c>
      <c r="N1343" s="21"/>
      <c r="O1343" s="22"/>
    </row>
    <row r="1344" spans="1:15" s="10" customFormat="1" x14ac:dyDescent="0.25">
      <c r="A1344" s="16">
        <v>325</v>
      </c>
      <c r="B1344" s="16">
        <v>60</v>
      </c>
      <c r="C1344" s="16">
        <v>45</v>
      </c>
      <c r="D1344" s="16" t="s">
        <v>2</v>
      </c>
      <c r="E1344" s="17">
        <f>11.279-2.34-4.334-2.297</f>
        <v>2.3080000000000003</v>
      </c>
      <c r="F1344" s="18">
        <f>91700+3000+1000</f>
        <v>95700</v>
      </c>
      <c r="N1344" s="21"/>
      <c r="O1344" s="22"/>
    </row>
    <row r="1345" spans="1:15" s="10" customFormat="1" x14ac:dyDescent="0.25">
      <c r="A1345" s="16">
        <v>325</v>
      </c>
      <c r="B1345" s="16">
        <v>70</v>
      </c>
      <c r="C1345" s="16" t="s">
        <v>5</v>
      </c>
      <c r="D1345" s="16" t="s">
        <v>2</v>
      </c>
      <c r="E1345" s="17">
        <v>8.3160000000000007</v>
      </c>
      <c r="F1345" s="18">
        <v>200000</v>
      </c>
      <c r="N1345" s="21"/>
      <c r="O1345" s="22"/>
    </row>
    <row r="1346" spans="1:15" s="10" customFormat="1" x14ac:dyDescent="0.25">
      <c r="A1346" s="16">
        <v>325</v>
      </c>
      <c r="B1346" s="16">
        <v>70</v>
      </c>
      <c r="C1346" s="16" t="s">
        <v>5</v>
      </c>
      <c r="D1346" s="16" t="s">
        <v>2</v>
      </c>
      <c r="E1346" s="17">
        <v>1.1930000000000001</v>
      </c>
      <c r="F1346" s="18">
        <v>200000</v>
      </c>
      <c r="N1346" s="21"/>
      <c r="O1346" s="22"/>
    </row>
    <row r="1347" spans="1:15" s="10" customFormat="1" x14ac:dyDescent="0.25">
      <c r="A1347" s="16">
        <v>330</v>
      </c>
      <c r="B1347" s="16">
        <v>17</v>
      </c>
      <c r="C1347" s="16">
        <v>20</v>
      </c>
      <c r="D1347" s="16" t="s">
        <v>2</v>
      </c>
      <c r="E1347" s="17">
        <f>1.335-0.069-0.201</f>
        <v>1.0649999999999999</v>
      </c>
      <c r="F1347" s="18">
        <f>39000+1000</f>
        <v>40000</v>
      </c>
      <c r="N1347" s="21"/>
      <c r="O1347" s="22"/>
    </row>
    <row r="1348" spans="1:15" s="10" customFormat="1" x14ac:dyDescent="0.25">
      <c r="A1348" s="16">
        <v>330</v>
      </c>
      <c r="B1348" s="16">
        <v>60</v>
      </c>
      <c r="C1348" s="16" t="s">
        <v>0</v>
      </c>
      <c r="D1348" s="16" t="s">
        <v>2</v>
      </c>
      <c r="E1348" s="17">
        <f>9.216-0.272</f>
        <v>8.9439999999999991</v>
      </c>
      <c r="F1348" s="18">
        <f>99700+1000</f>
        <v>100700</v>
      </c>
      <c r="N1348" s="21"/>
      <c r="O1348" s="22"/>
    </row>
    <row r="1349" spans="1:15" s="10" customFormat="1" x14ac:dyDescent="0.25">
      <c r="A1349" s="16">
        <v>351</v>
      </c>
      <c r="B1349" s="16">
        <v>12</v>
      </c>
      <c r="C1349" s="16">
        <v>20</v>
      </c>
      <c r="D1349" s="16" t="s">
        <v>2</v>
      </c>
      <c r="E1349" s="17">
        <v>1.0149999999999999</v>
      </c>
      <c r="F1349" s="18">
        <v>78700</v>
      </c>
      <c r="N1349" s="21"/>
      <c r="O1349" s="22"/>
    </row>
    <row r="1350" spans="1:15" s="10" customFormat="1" x14ac:dyDescent="0.25">
      <c r="A1350" s="16">
        <v>351</v>
      </c>
      <c r="B1350" s="16">
        <v>14</v>
      </c>
      <c r="C1350" s="16">
        <v>20</v>
      </c>
      <c r="D1350" s="16" t="s">
        <v>2</v>
      </c>
      <c r="E1350" s="17">
        <f>8.871-0.125-0.962-0.129-0.146-0.086-0.696-0.358-0.606-0.962</f>
        <v>4.8010000000000019</v>
      </c>
      <c r="F1350" s="18">
        <f>74700+3000+1000</f>
        <v>78700</v>
      </c>
      <c r="N1350" s="21"/>
      <c r="O1350" s="22"/>
    </row>
    <row r="1351" spans="1:15" s="10" customFormat="1" x14ac:dyDescent="0.25">
      <c r="A1351" s="16">
        <v>351</v>
      </c>
      <c r="B1351" s="16">
        <v>14</v>
      </c>
      <c r="C1351" s="16">
        <v>20</v>
      </c>
      <c r="D1351" s="16" t="s">
        <v>2</v>
      </c>
      <c r="E1351" s="17">
        <v>0.96299999999999997</v>
      </c>
      <c r="F1351" s="18">
        <f>74700+3000+1000</f>
        <v>78700</v>
      </c>
      <c r="N1351" s="21"/>
      <c r="O1351" s="22"/>
    </row>
    <row r="1352" spans="1:15" s="10" customFormat="1" x14ac:dyDescent="0.25">
      <c r="A1352" s="16">
        <v>351</v>
      </c>
      <c r="B1352" s="16">
        <v>14</v>
      </c>
      <c r="C1352" s="16" t="s">
        <v>0</v>
      </c>
      <c r="D1352" s="16" t="s">
        <v>2</v>
      </c>
      <c r="E1352" s="17">
        <v>2.4049999999999998</v>
      </c>
      <c r="F1352" s="18">
        <v>81700</v>
      </c>
      <c r="N1352" s="21"/>
      <c r="O1352" s="22"/>
    </row>
    <row r="1353" spans="1:15" s="10" customFormat="1" x14ac:dyDescent="0.25">
      <c r="A1353" s="16">
        <v>351</v>
      </c>
      <c r="B1353" s="16">
        <v>16</v>
      </c>
      <c r="C1353" s="16">
        <v>20</v>
      </c>
      <c r="D1353" s="16" t="s">
        <v>2</v>
      </c>
      <c r="E1353" s="17">
        <v>2.2589999999999999</v>
      </c>
      <c r="F1353" s="18">
        <f>77700+1000</f>
        <v>78700</v>
      </c>
      <c r="N1353" s="21"/>
      <c r="O1353" s="22"/>
    </row>
    <row r="1354" spans="1:15" s="10" customFormat="1" x14ac:dyDescent="0.25">
      <c r="A1354" s="16">
        <v>351</v>
      </c>
      <c r="B1354" s="16">
        <v>20</v>
      </c>
      <c r="C1354" s="16">
        <v>20</v>
      </c>
      <c r="D1354" s="16" t="s">
        <v>2</v>
      </c>
      <c r="E1354" s="17">
        <f>3.453-0.038</f>
        <v>3.415</v>
      </c>
      <c r="F1354" s="18">
        <f>74700+3000+1000</f>
        <v>78700</v>
      </c>
      <c r="N1354" s="21"/>
      <c r="O1354" s="22"/>
    </row>
    <row r="1355" spans="1:15" s="10" customFormat="1" x14ac:dyDescent="0.25">
      <c r="A1355" s="16">
        <v>351</v>
      </c>
      <c r="B1355" s="16">
        <v>20</v>
      </c>
      <c r="C1355" s="16" t="s">
        <v>0</v>
      </c>
      <c r="D1355" s="16" t="s">
        <v>2</v>
      </c>
      <c r="E1355" s="17">
        <f>5.293+1.738-1.738</f>
        <v>5.293000000000001</v>
      </c>
      <c r="F1355" s="18">
        <f>77700+3000+1000</f>
        <v>81700</v>
      </c>
      <c r="N1355" s="21"/>
      <c r="O1355" s="22"/>
    </row>
    <row r="1356" spans="1:15" s="10" customFormat="1" x14ac:dyDescent="0.25">
      <c r="A1356" s="16">
        <v>351</v>
      </c>
      <c r="B1356" s="16">
        <v>20</v>
      </c>
      <c r="C1356" s="16" t="s">
        <v>0</v>
      </c>
      <c r="D1356" s="16" t="s">
        <v>2</v>
      </c>
      <c r="E1356" s="17">
        <f>8.412-2.094-0.342-0.18-0.448-1.73-0.089-3.277+0.022</f>
        <v>0.27400000000000158</v>
      </c>
      <c r="F1356" s="18">
        <f>77700+3000+1000</f>
        <v>81700</v>
      </c>
      <c r="N1356" s="21"/>
      <c r="O1356" s="22"/>
    </row>
    <row r="1357" spans="1:15" s="10" customFormat="1" x14ac:dyDescent="0.25">
      <c r="A1357" s="16">
        <v>351</v>
      </c>
      <c r="B1357" s="16">
        <v>25</v>
      </c>
      <c r="C1357" s="16">
        <v>20</v>
      </c>
      <c r="D1357" s="16" t="s">
        <v>85</v>
      </c>
      <c r="E1357" s="17">
        <f>10.734-0.43-3.703</f>
        <v>6.6010000000000009</v>
      </c>
      <c r="F1357" s="18">
        <f>77700+1000</f>
        <v>78700</v>
      </c>
      <c r="N1357" s="21"/>
      <c r="O1357" s="22"/>
    </row>
    <row r="1358" spans="1:15" s="10" customFormat="1" x14ac:dyDescent="0.25">
      <c r="A1358" s="16">
        <v>351</v>
      </c>
      <c r="B1358" s="16">
        <v>25</v>
      </c>
      <c r="C1358" s="16">
        <v>45</v>
      </c>
      <c r="D1358" s="16" t="s">
        <v>2</v>
      </c>
      <c r="E1358" s="17">
        <f>15.642-4.155-1.991-2.385-1.71</f>
        <v>5.4009999999999989</v>
      </c>
      <c r="F1358" s="18">
        <f>76700+3000+1000</f>
        <v>80700</v>
      </c>
      <c r="N1358" s="21"/>
      <c r="O1358" s="22"/>
    </row>
    <row r="1359" spans="1:15" s="10" customFormat="1" x14ac:dyDescent="0.25">
      <c r="A1359" s="16">
        <v>351</v>
      </c>
      <c r="B1359" s="16">
        <v>25</v>
      </c>
      <c r="C1359" s="16">
        <v>45</v>
      </c>
      <c r="D1359" s="16" t="s">
        <v>85</v>
      </c>
      <c r="E1359" s="17">
        <v>10.728</v>
      </c>
      <c r="F1359" s="18">
        <f>79700+1000</f>
        <v>80700</v>
      </c>
      <c r="N1359" s="21"/>
      <c r="O1359" s="22"/>
    </row>
    <row r="1360" spans="1:15" s="10" customFormat="1" x14ac:dyDescent="0.25">
      <c r="A1360" s="16">
        <v>351</v>
      </c>
      <c r="B1360" s="16">
        <v>25</v>
      </c>
      <c r="C1360" s="16" t="s">
        <v>0</v>
      </c>
      <c r="D1360" s="16" t="s">
        <v>2</v>
      </c>
      <c r="E1360" s="17">
        <v>1.792</v>
      </c>
      <c r="F1360" s="18">
        <f>80700+1000</f>
        <v>81700</v>
      </c>
      <c r="N1360" s="21"/>
      <c r="O1360" s="22"/>
    </row>
    <row r="1361" spans="1:22" s="10" customFormat="1" x14ac:dyDescent="0.25">
      <c r="A1361" s="16">
        <v>351</v>
      </c>
      <c r="B1361" s="16">
        <v>25</v>
      </c>
      <c r="C1361" s="16" t="s">
        <v>0</v>
      </c>
      <c r="D1361" s="16" t="s">
        <v>85</v>
      </c>
      <c r="E1361" s="17">
        <f>10.762-2.335-0.156-0.321-0.336</f>
        <v>7.613999999999999</v>
      </c>
      <c r="F1361" s="18">
        <f>80700+1000</f>
        <v>81700</v>
      </c>
      <c r="N1361" s="21"/>
      <c r="O1361" s="22"/>
    </row>
    <row r="1362" spans="1:22" s="10" customFormat="1" x14ac:dyDescent="0.25">
      <c r="A1362" s="16">
        <v>351</v>
      </c>
      <c r="B1362" s="16">
        <v>25</v>
      </c>
      <c r="C1362" s="16" t="s">
        <v>5</v>
      </c>
      <c r="D1362" s="16" t="s">
        <v>2</v>
      </c>
      <c r="E1362" s="17">
        <f>9.937-3.446-2.081+0.002</f>
        <v>4.4119999999999999</v>
      </c>
      <c r="F1362" s="18">
        <v>200000</v>
      </c>
      <c r="N1362" s="21"/>
      <c r="O1362" s="22"/>
    </row>
    <row r="1363" spans="1:22" s="10" customFormat="1" x14ac:dyDescent="0.25">
      <c r="A1363" s="16">
        <v>351</v>
      </c>
      <c r="B1363" s="16">
        <v>25</v>
      </c>
      <c r="C1363" s="16" t="s">
        <v>5</v>
      </c>
      <c r="D1363" s="16" t="s">
        <v>2</v>
      </c>
      <c r="E1363" s="17">
        <v>5</v>
      </c>
      <c r="F1363" s="18">
        <v>200000</v>
      </c>
      <c r="N1363" s="21"/>
      <c r="O1363" s="22"/>
    </row>
    <row r="1364" spans="1:22" s="10" customFormat="1" x14ac:dyDescent="0.25">
      <c r="A1364" s="16">
        <v>351</v>
      </c>
      <c r="B1364" s="16">
        <v>30</v>
      </c>
      <c r="C1364" s="16">
        <v>20</v>
      </c>
      <c r="D1364" s="16" t="s">
        <v>2</v>
      </c>
      <c r="E1364" s="17">
        <v>2.3719999999999999</v>
      </c>
      <c r="F1364" s="18">
        <f>77700+1000</f>
        <v>78700</v>
      </c>
      <c r="N1364" s="21"/>
      <c r="O1364" s="22"/>
    </row>
    <row r="1365" spans="1:22" s="10" customFormat="1" x14ac:dyDescent="0.25">
      <c r="A1365" s="16">
        <v>351</v>
      </c>
      <c r="B1365" s="16">
        <v>30</v>
      </c>
      <c r="C1365" s="16">
        <v>10</v>
      </c>
      <c r="D1365" s="16" t="s">
        <v>85</v>
      </c>
      <c r="E1365" s="17">
        <v>10.250999999999999</v>
      </c>
      <c r="F1365" s="18">
        <f>77700+1000</f>
        <v>78700</v>
      </c>
      <c r="N1365" s="21"/>
      <c r="O1365" s="22"/>
    </row>
    <row r="1366" spans="1:22" s="10" customFormat="1" x14ac:dyDescent="0.25">
      <c r="A1366" s="16">
        <v>351</v>
      </c>
      <c r="B1366" s="16">
        <v>30</v>
      </c>
      <c r="C1366" s="16" t="s">
        <v>0</v>
      </c>
      <c r="D1366" s="16" t="s">
        <v>2</v>
      </c>
      <c r="E1366" s="17">
        <f>16.567-0.411-0.604-0.129-0.131-2.504-0.186-0.958-2.456-0.124-1.587-0.212-0.262-0.499-0.768</f>
        <v>5.7360000000000007</v>
      </c>
      <c r="F1366" s="18">
        <f>80700+1000</f>
        <v>81700</v>
      </c>
      <c r="N1366" s="21"/>
      <c r="O1366" s="22"/>
    </row>
    <row r="1367" spans="1:22" s="10" customFormat="1" x14ac:dyDescent="0.25">
      <c r="A1367" s="16">
        <v>351</v>
      </c>
      <c r="B1367" s="16">
        <v>30</v>
      </c>
      <c r="C1367" s="16" t="s">
        <v>5</v>
      </c>
      <c r="D1367" s="16" t="s">
        <v>2</v>
      </c>
      <c r="E1367" s="17">
        <v>1.6930000000000001</v>
      </c>
      <c r="F1367" s="18">
        <v>200000</v>
      </c>
      <c r="N1367" s="21"/>
      <c r="O1367" s="22"/>
    </row>
    <row r="1368" spans="1:22" s="10" customFormat="1" x14ac:dyDescent="0.25">
      <c r="A1368" s="16">
        <v>351</v>
      </c>
      <c r="B1368" s="16">
        <v>30</v>
      </c>
      <c r="C1368" s="16" t="s">
        <v>5</v>
      </c>
      <c r="D1368" s="16" t="s">
        <v>2</v>
      </c>
      <c r="E1368" s="17">
        <v>5</v>
      </c>
      <c r="F1368" s="18">
        <v>200000</v>
      </c>
      <c r="N1368" s="21"/>
      <c r="O1368" s="22"/>
    </row>
    <row r="1369" spans="1:22" s="10" customFormat="1" x14ac:dyDescent="0.25">
      <c r="A1369" s="16">
        <v>351</v>
      </c>
      <c r="B1369" s="16">
        <v>32</v>
      </c>
      <c r="C1369" s="16">
        <v>10</v>
      </c>
      <c r="D1369" s="16" t="s">
        <v>2</v>
      </c>
      <c r="E1369" s="17">
        <f>5.513-2.719</f>
        <v>2.794</v>
      </c>
      <c r="F1369" s="18">
        <f>91700+3000+1000</f>
        <v>95700</v>
      </c>
      <c r="N1369" s="21"/>
      <c r="O1369" s="22"/>
    </row>
    <row r="1370" spans="1:22" s="10" customFormat="1" x14ac:dyDescent="0.25">
      <c r="A1370" s="16">
        <v>351</v>
      </c>
      <c r="B1370" s="16">
        <v>32</v>
      </c>
      <c r="C1370" s="16" t="s">
        <v>0</v>
      </c>
      <c r="D1370" s="16" t="s">
        <v>2</v>
      </c>
      <c r="E1370" s="17">
        <v>1.706</v>
      </c>
      <c r="F1370" s="18">
        <f>99700+1000</f>
        <v>100700</v>
      </c>
      <c r="N1370" s="21"/>
      <c r="O1370" s="22"/>
    </row>
    <row r="1371" spans="1:22" s="10" customFormat="1" x14ac:dyDescent="0.25">
      <c r="A1371" s="16">
        <v>351</v>
      </c>
      <c r="B1371" s="16">
        <v>32</v>
      </c>
      <c r="C1371" s="16" t="s">
        <v>5</v>
      </c>
      <c r="D1371" s="16" t="s">
        <v>2</v>
      </c>
      <c r="E1371" s="17">
        <v>10</v>
      </c>
      <c r="F1371" s="18">
        <v>200000</v>
      </c>
      <c r="N1371" s="21"/>
      <c r="O1371" s="22"/>
    </row>
    <row r="1372" spans="1:22" s="10" customFormat="1" x14ac:dyDescent="0.25">
      <c r="A1372" s="16">
        <v>351</v>
      </c>
      <c r="B1372" s="16">
        <v>36</v>
      </c>
      <c r="C1372" s="16">
        <v>20</v>
      </c>
      <c r="D1372" s="16" t="s">
        <v>2</v>
      </c>
      <c r="E1372" s="17">
        <f>8.595-0.17-0.088-0.122-0.052-0.297-0.126-0.098-0.126</f>
        <v>7.5160000000000018</v>
      </c>
      <c r="F1372" s="18">
        <f>91700+3000+1000</f>
        <v>95700</v>
      </c>
      <c r="N1372" s="21"/>
      <c r="O1372" s="22"/>
      <c r="T1372" s="3"/>
      <c r="U1372" s="3"/>
      <c r="V1372" s="3"/>
    </row>
    <row r="1373" spans="1:22" s="10" customFormat="1" x14ac:dyDescent="0.25">
      <c r="A1373" s="16">
        <v>351</v>
      </c>
      <c r="B1373" s="16">
        <v>36</v>
      </c>
      <c r="C1373" s="16" t="s">
        <v>0</v>
      </c>
      <c r="D1373" s="16" t="s">
        <v>2</v>
      </c>
      <c r="E1373" s="17">
        <v>11.917999999999999</v>
      </c>
      <c r="F1373" s="18">
        <f>99700+1000</f>
        <v>100700</v>
      </c>
      <c r="N1373" s="21"/>
      <c r="O1373" s="22"/>
      <c r="T1373" s="3"/>
      <c r="U1373" s="3"/>
      <c r="V1373" s="3"/>
    </row>
    <row r="1374" spans="1:22" s="10" customFormat="1" x14ac:dyDescent="0.25">
      <c r="A1374" s="16">
        <v>351</v>
      </c>
      <c r="B1374" s="16">
        <v>36</v>
      </c>
      <c r="C1374" s="16">
        <v>45</v>
      </c>
      <c r="D1374" s="16" t="s">
        <v>2</v>
      </c>
      <c r="E1374" s="17">
        <f>7.145-2.45-0.052-0.113-0.202-0.606-2.492-0.182</f>
        <v>1.0479999999999996</v>
      </c>
      <c r="F1374" s="18">
        <f>93700+3000+1000</f>
        <v>97700</v>
      </c>
      <c r="N1374" s="21"/>
      <c r="O1374" s="22"/>
      <c r="T1374" s="3"/>
      <c r="U1374" s="3"/>
      <c r="V1374" s="3"/>
    </row>
    <row r="1375" spans="1:22" s="10" customFormat="1" x14ac:dyDescent="0.25">
      <c r="A1375" s="16">
        <v>351</v>
      </c>
      <c r="B1375" s="16">
        <v>36</v>
      </c>
      <c r="C1375" s="16">
        <v>45</v>
      </c>
      <c r="D1375" s="16" t="s">
        <v>85</v>
      </c>
      <c r="E1375" s="17">
        <v>10.366</v>
      </c>
      <c r="F1375" s="18">
        <f>96700+1000</f>
        <v>97700</v>
      </c>
      <c r="N1375" s="21"/>
      <c r="O1375" s="22"/>
    </row>
    <row r="1376" spans="1:22" s="10" customFormat="1" x14ac:dyDescent="0.25">
      <c r="A1376" s="16">
        <v>351</v>
      </c>
      <c r="B1376" s="16">
        <v>36</v>
      </c>
      <c r="C1376" s="16" t="s">
        <v>5</v>
      </c>
      <c r="D1376" s="16" t="s">
        <v>2</v>
      </c>
      <c r="E1376" s="17">
        <f>10.736-2.046-2.142-2.19</f>
        <v>4.3580000000000023</v>
      </c>
      <c r="F1376" s="18">
        <v>200000</v>
      </c>
      <c r="N1376" s="21"/>
      <c r="O1376" s="22"/>
    </row>
    <row r="1377" spans="1:15" s="10" customFormat="1" x14ac:dyDescent="0.25">
      <c r="A1377" s="16">
        <v>351</v>
      </c>
      <c r="B1377" s="16">
        <v>40</v>
      </c>
      <c r="C1377" s="16" t="s">
        <v>5</v>
      </c>
      <c r="D1377" s="16" t="s">
        <v>2</v>
      </c>
      <c r="E1377" s="17">
        <f>10.055-2.488-0.572</f>
        <v>6.9950000000000001</v>
      </c>
      <c r="F1377" s="18">
        <v>200000</v>
      </c>
      <c r="N1377" s="21"/>
      <c r="O1377" s="22"/>
    </row>
    <row r="1378" spans="1:15" s="10" customFormat="1" x14ac:dyDescent="0.25">
      <c r="A1378" s="16">
        <v>351</v>
      </c>
      <c r="B1378" s="16">
        <v>45</v>
      </c>
      <c r="C1378" s="16">
        <v>35</v>
      </c>
      <c r="D1378" s="16" t="s">
        <v>2</v>
      </c>
      <c r="E1378" s="17">
        <f>10.8-2.163-1.092-2.199</f>
        <v>5.3460000000000001</v>
      </c>
      <c r="F1378" s="18">
        <f>96700+1000</f>
        <v>97700</v>
      </c>
      <c r="N1378" s="21"/>
      <c r="O1378" s="22"/>
    </row>
    <row r="1379" spans="1:15" s="10" customFormat="1" x14ac:dyDescent="0.25">
      <c r="A1379" s="16">
        <v>351</v>
      </c>
      <c r="B1379" s="16">
        <v>45</v>
      </c>
      <c r="C1379" s="16">
        <v>35</v>
      </c>
      <c r="D1379" s="16" t="s">
        <v>85</v>
      </c>
      <c r="E1379" s="17">
        <v>1.887</v>
      </c>
      <c r="F1379" s="18">
        <f>96700+1000</f>
        <v>97700</v>
      </c>
      <c r="N1379" s="21"/>
      <c r="O1379" s="22"/>
    </row>
    <row r="1380" spans="1:15" s="10" customFormat="1" x14ac:dyDescent="0.25">
      <c r="A1380" s="16">
        <v>351</v>
      </c>
      <c r="B1380" s="16">
        <v>45</v>
      </c>
      <c r="C1380" s="16">
        <v>35</v>
      </c>
      <c r="D1380" s="16" t="s">
        <v>85</v>
      </c>
      <c r="E1380" s="17">
        <v>17.974</v>
      </c>
      <c r="F1380" s="18">
        <f>96700+1000</f>
        <v>97700</v>
      </c>
      <c r="N1380" s="21"/>
      <c r="O1380" s="22"/>
    </row>
    <row r="1381" spans="1:15" s="10" customFormat="1" x14ac:dyDescent="0.25">
      <c r="A1381" s="16">
        <v>351</v>
      </c>
      <c r="B1381" s="16">
        <v>45</v>
      </c>
      <c r="C1381" s="16" t="s">
        <v>5</v>
      </c>
      <c r="D1381" s="16" t="s">
        <v>2</v>
      </c>
      <c r="E1381" s="17">
        <f>9.985-2.46-2.512-2.501+0.003-0.534</f>
        <v>1.9810000000000001</v>
      </c>
      <c r="F1381" s="18">
        <v>200000</v>
      </c>
      <c r="N1381" s="21"/>
      <c r="O1381" s="22"/>
    </row>
    <row r="1382" spans="1:15" s="10" customFormat="1" x14ac:dyDescent="0.25">
      <c r="A1382" s="16">
        <v>351</v>
      </c>
      <c r="B1382" s="16">
        <v>45</v>
      </c>
      <c r="C1382" s="16" t="s">
        <v>5</v>
      </c>
      <c r="D1382" s="16" t="s">
        <v>2</v>
      </c>
      <c r="E1382" s="17">
        <v>2.081</v>
      </c>
      <c r="F1382" s="18">
        <v>200000</v>
      </c>
      <c r="N1382" s="21"/>
      <c r="O1382" s="22"/>
    </row>
    <row r="1383" spans="1:15" s="10" customFormat="1" x14ac:dyDescent="0.25">
      <c r="A1383" s="16">
        <v>351</v>
      </c>
      <c r="B1383" s="16">
        <v>45</v>
      </c>
      <c r="C1383" s="16" t="s">
        <v>5</v>
      </c>
      <c r="D1383" s="16" t="s">
        <v>2</v>
      </c>
      <c r="E1383" s="17">
        <v>3.077</v>
      </c>
      <c r="F1383" s="18">
        <v>200000</v>
      </c>
      <c r="N1383" s="21"/>
      <c r="O1383" s="22"/>
    </row>
    <row r="1384" spans="1:15" s="10" customFormat="1" x14ac:dyDescent="0.25">
      <c r="A1384" s="16">
        <v>351</v>
      </c>
      <c r="B1384" s="16">
        <v>50</v>
      </c>
      <c r="C1384" s="16">
        <v>20</v>
      </c>
      <c r="D1384" s="16" t="s">
        <v>2</v>
      </c>
      <c r="E1384" s="17">
        <f>9.41-1.066-0.272-2.36-0.321-0.299-0.344-2.405-0.265-0.295</f>
        <v>1.7829999999999995</v>
      </c>
      <c r="F1384" s="18">
        <f>91700+3000+1000</f>
        <v>95700</v>
      </c>
      <c r="N1384" s="21"/>
      <c r="O1384" s="22"/>
    </row>
    <row r="1385" spans="1:15" s="10" customFormat="1" x14ac:dyDescent="0.25">
      <c r="A1385" s="16">
        <v>351</v>
      </c>
      <c r="B1385" s="16">
        <v>50</v>
      </c>
      <c r="C1385" s="16">
        <v>20</v>
      </c>
      <c r="D1385" s="16" t="s">
        <v>92</v>
      </c>
      <c r="E1385" s="17">
        <v>1.665</v>
      </c>
      <c r="F1385" s="18">
        <f>91700+3000+1000</f>
        <v>95700</v>
      </c>
      <c r="N1385" s="21"/>
      <c r="O1385" s="22"/>
    </row>
    <row r="1386" spans="1:15" s="10" customFormat="1" x14ac:dyDescent="0.25">
      <c r="A1386" s="16">
        <v>351</v>
      </c>
      <c r="B1386" s="16">
        <v>50</v>
      </c>
      <c r="C1386" s="16">
        <v>20</v>
      </c>
      <c r="D1386" s="16" t="s">
        <v>85</v>
      </c>
      <c r="E1386" s="17">
        <v>11.212</v>
      </c>
      <c r="F1386" s="18">
        <f>94700+1000</f>
        <v>95700</v>
      </c>
      <c r="N1386" s="21"/>
      <c r="O1386" s="22"/>
    </row>
    <row r="1387" spans="1:15" s="10" customFormat="1" x14ac:dyDescent="0.25">
      <c r="A1387" s="16">
        <v>351</v>
      </c>
      <c r="B1387" s="16">
        <v>50</v>
      </c>
      <c r="C1387" s="16">
        <v>20</v>
      </c>
      <c r="D1387" s="16" t="s">
        <v>85</v>
      </c>
      <c r="E1387" s="17">
        <v>10</v>
      </c>
      <c r="F1387" s="18">
        <f>94700+1000</f>
        <v>95700</v>
      </c>
      <c r="N1387" s="21"/>
      <c r="O1387" s="22"/>
    </row>
    <row r="1388" spans="1:15" s="10" customFormat="1" x14ac:dyDescent="0.25">
      <c r="A1388" s="16">
        <v>351</v>
      </c>
      <c r="B1388" s="16">
        <v>50</v>
      </c>
      <c r="C1388" s="16">
        <v>35</v>
      </c>
      <c r="D1388" s="16" t="s">
        <v>2</v>
      </c>
      <c r="E1388" s="17">
        <f>10.764-0.377-4.33-0.034-0.245-0.49-0.174</f>
        <v>5.1139999999999981</v>
      </c>
      <c r="F1388" s="18">
        <f>93700+3000+1000</f>
        <v>97700</v>
      </c>
      <c r="N1388" s="21"/>
      <c r="O1388" s="22"/>
    </row>
    <row r="1389" spans="1:15" s="10" customFormat="1" x14ac:dyDescent="0.25">
      <c r="A1389" s="16">
        <v>351</v>
      </c>
      <c r="B1389" s="16">
        <v>50</v>
      </c>
      <c r="C1389" s="16">
        <v>35</v>
      </c>
      <c r="D1389" s="16" t="s">
        <v>2</v>
      </c>
      <c r="E1389" s="17">
        <v>9.5649999999999995</v>
      </c>
      <c r="F1389" s="18">
        <f>93700+3000+1000</f>
        <v>97700</v>
      </c>
      <c r="N1389" s="21"/>
      <c r="O1389" s="22"/>
    </row>
    <row r="1390" spans="1:15" s="10" customFormat="1" x14ac:dyDescent="0.25">
      <c r="A1390" s="16">
        <v>351</v>
      </c>
      <c r="B1390" s="16">
        <v>50</v>
      </c>
      <c r="C1390" s="16" t="s">
        <v>0</v>
      </c>
      <c r="D1390" s="16" t="s">
        <v>85</v>
      </c>
      <c r="E1390" s="17">
        <f>11.065-2.121</f>
        <v>8.9439999999999991</v>
      </c>
      <c r="F1390" s="18">
        <f>99700+1000</f>
        <v>100700</v>
      </c>
      <c r="N1390" s="21"/>
      <c r="O1390" s="22"/>
    </row>
    <row r="1391" spans="1:15" s="10" customFormat="1" x14ac:dyDescent="0.25">
      <c r="A1391" s="16">
        <v>351</v>
      </c>
      <c r="B1391" s="16">
        <v>50</v>
      </c>
      <c r="C1391" s="16" t="s">
        <v>0</v>
      </c>
      <c r="D1391" s="16" t="s">
        <v>2</v>
      </c>
      <c r="E1391" s="17">
        <v>5.3010000000000002</v>
      </c>
      <c r="F1391" s="18">
        <f>99700+1000</f>
        <v>100700</v>
      </c>
      <c r="N1391" s="21"/>
      <c r="O1391" s="22"/>
    </row>
    <row r="1392" spans="1:15" s="10" customFormat="1" x14ac:dyDescent="0.25">
      <c r="A1392" s="16">
        <v>351</v>
      </c>
      <c r="B1392" s="16">
        <v>60</v>
      </c>
      <c r="C1392" s="16">
        <v>20</v>
      </c>
      <c r="D1392" s="16" t="s">
        <v>85</v>
      </c>
      <c r="E1392" s="17">
        <f>20.378-4.572</f>
        <v>15.806000000000001</v>
      </c>
      <c r="F1392" s="18">
        <f>94700+1000</f>
        <v>95700</v>
      </c>
      <c r="N1392" s="21"/>
      <c r="O1392" s="22"/>
    </row>
    <row r="1393" spans="1:15" s="10" customFormat="1" x14ac:dyDescent="0.25">
      <c r="A1393" s="16">
        <v>351</v>
      </c>
      <c r="B1393" s="16">
        <v>70</v>
      </c>
      <c r="C1393" s="16" t="s">
        <v>5</v>
      </c>
      <c r="D1393" s="16" t="s">
        <v>2</v>
      </c>
      <c r="E1393" s="17">
        <v>20</v>
      </c>
      <c r="F1393" s="18">
        <v>200000</v>
      </c>
      <c r="N1393" s="21"/>
      <c r="O1393" s="22"/>
    </row>
    <row r="1394" spans="1:15" s="10" customFormat="1" x14ac:dyDescent="0.25">
      <c r="A1394" s="16">
        <v>351</v>
      </c>
      <c r="B1394" s="16">
        <v>80</v>
      </c>
      <c r="C1394" s="16">
        <v>20</v>
      </c>
      <c r="D1394" s="16" t="s">
        <v>2</v>
      </c>
      <c r="E1394" s="17">
        <f>2.782-1.34+0.013-0.35</f>
        <v>1.105</v>
      </c>
      <c r="F1394" s="18">
        <f>91700+3000+1000</f>
        <v>95700</v>
      </c>
      <c r="N1394" s="21"/>
      <c r="O1394" s="22"/>
    </row>
    <row r="1395" spans="1:15" s="10" customFormat="1" x14ac:dyDescent="0.25">
      <c r="A1395" s="16">
        <v>351</v>
      </c>
      <c r="B1395" s="16">
        <v>80</v>
      </c>
      <c r="C1395" s="16">
        <v>20</v>
      </c>
      <c r="D1395" s="16" t="s">
        <v>2</v>
      </c>
      <c r="E1395" s="17">
        <v>2</v>
      </c>
      <c r="F1395" s="18">
        <f>94700+1000</f>
        <v>95700</v>
      </c>
      <c r="N1395" s="21"/>
      <c r="O1395" s="22"/>
    </row>
    <row r="1396" spans="1:15" s="10" customFormat="1" x14ac:dyDescent="0.25">
      <c r="A1396" s="16">
        <v>356</v>
      </c>
      <c r="B1396" s="16">
        <v>30</v>
      </c>
      <c r="C1396" s="16">
        <v>20</v>
      </c>
      <c r="D1396" s="16" t="s">
        <v>2</v>
      </c>
      <c r="E1396" s="17">
        <f>5.33-0.156-0.034-0.155-0.53-2.751-0.085-0.111-0.131-0.09</f>
        <v>1.2870000000000001</v>
      </c>
      <c r="F1396" s="18">
        <f>74700+3000+1000</f>
        <v>78700</v>
      </c>
      <c r="N1396" s="21"/>
      <c r="O1396" s="22"/>
    </row>
    <row r="1397" spans="1:15" s="10" customFormat="1" x14ac:dyDescent="0.25">
      <c r="A1397" s="16">
        <v>356</v>
      </c>
      <c r="B1397" s="16">
        <v>30</v>
      </c>
      <c r="C1397" s="16">
        <v>20</v>
      </c>
      <c r="D1397" s="16" t="s">
        <v>85</v>
      </c>
      <c r="E1397" s="17">
        <v>7.4829999999999997</v>
      </c>
      <c r="F1397" s="18">
        <f>77700+1000</f>
        <v>78700</v>
      </c>
      <c r="N1397" s="21"/>
      <c r="O1397" s="22"/>
    </row>
    <row r="1398" spans="1:15" s="10" customFormat="1" x14ac:dyDescent="0.25">
      <c r="A1398" s="16">
        <v>356</v>
      </c>
      <c r="B1398" s="16">
        <v>30</v>
      </c>
      <c r="C1398" s="16">
        <v>20</v>
      </c>
      <c r="D1398" s="16" t="s">
        <v>85</v>
      </c>
      <c r="E1398" s="17">
        <v>2.371</v>
      </c>
      <c r="F1398" s="18">
        <f>77700+1000</f>
        <v>78700</v>
      </c>
      <c r="N1398" s="21"/>
      <c r="O1398" s="22"/>
    </row>
    <row r="1399" spans="1:15" s="10" customFormat="1" x14ac:dyDescent="0.25">
      <c r="A1399" s="16">
        <v>356</v>
      </c>
      <c r="B1399" s="16">
        <v>30</v>
      </c>
      <c r="C1399" s="16" t="s">
        <v>5</v>
      </c>
      <c r="D1399" s="16" t="s">
        <v>2</v>
      </c>
      <c r="E1399" s="17">
        <v>5</v>
      </c>
      <c r="F1399" s="18">
        <v>200000</v>
      </c>
      <c r="N1399" s="21"/>
      <c r="O1399" s="22"/>
    </row>
    <row r="1400" spans="1:15" s="10" customFormat="1" x14ac:dyDescent="0.25">
      <c r="A1400" s="16">
        <v>377</v>
      </c>
      <c r="B1400" s="16">
        <v>9</v>
      </c>
      <c r="C1400" s="16" t="s">
        <v>0</v>
      </c>
      <c r="D1400" s="16" t="s">
        <v>2</v>
      </c>
      <c r="E1400" s="17">
        <f>0.975-0.127-0.088+0.002-0.103-0.193</f>
        <v>0.46600000000000003</v>
      </c>
      <c r="F1400" s="18">
        <f>77700+3000+1000</f>
        <v>81700</v>
      </c>
      <c r="N1400" s="21"/>
      <c r="O1400" s="22"/>
    </row>
    <row r="1401" spans="1:15" s="10" customFormat="1" x14ac:dyDescent="0.25">
      <c r="A1401" s="16">
        <v>377</v>
      </c>
      <c r="B1401" s="16">
        <v>9</v>
      </c>
      <c r="C1401" s="16" t="s">
        <v>30</v>
      </c>
      <c r="D1401" s="16" t="s">
        <v>2</v>
      </c>
      <c r="E1401" s="17">
        <f>3.515-0.742</f>
        <v>2.7730000000000001</v>
      </c>
      <c r="F1401" s="18">
        <f>89700+1000</f>
        <v>90700</v>
      </c>
      <c r="N1401" s="21"/>
      <c r="O1401" s="22"/>
    </row>
    <row r="1402" spans="1:15" s="10" customFormat="1" x14ac:dyDescent="0.25">
      <c r="A1402" s="16">
        <v>377</v>
      </c>
      <c r="B1402" s="16">
        <v>10</v>
      </c>
      <c r="C1402" s="16" t="s">
        <v>0</v>
      </c>
      <c r="D1402" s="16" t="s">
        <v>2</v>
      </c>
      <c r="E1402" s="17">
        <f>2.061-0.213-0.148-0.64+0.001-0.214-0.086-0.292</f>
        <v>0.46900000000000003</v>
      </c>
      <c r="F1402" s="18">
        <f>77700+3000+1000</f>
        <v>81700</v>
      </c>
      <c r="N1402" s="21"/>
      <c r="O1402" s="22"/>
    </row>
    <row r="1403" spans="1:15" s="10" customFormat="1" x14ac:dyDescent="0.25">
      <c r="A1403" s="16">
        <v>377</v>
      </c>
      <c r="B1403" s="20">
        <v>10</v>
      </c>
      <c r="C1403" s="16" t="s">
        <v>7</v>
      </c>
      <c r="D1403" s="16" t="s">
        <v>2</v>
      </c>
      <c r="E1403" s="17">
        <v>0.16200000000000001</v>
      </c>
      <c r="F1403" s="18">
        <v>150000</v>
      </c>
      <c r="N1403" s="21"/>
      <c r="O1403" s="22"/>
    </row>
    <row r="1404" spans="1:15" s="10" customFormat="1" x14ac:dyDescent="0.25">
      <c r="A1404" s="16">
        <v>377</v>
      </c>
      <c r="B1404" s="16">
        <v>10</v>
      </c>
      <c r="C1404" s="16" t="s">
        <v>8</v>
      </c>
      <c r="D1404" s="16" t="s">
        <v>9</v>
      </c>
      <c r="E1404" s="17">
        <v>1.02</v>
      </c>
      <c r="F1404" s="18">
        <v>350000</v>
      </c>
      <c r="N1404" s="21"/>
      <c r="O1404" s="22"/>
    </row>
    <row r="1405" spans="1:15" s="10" customFormat="1" x14ac:dyDescent="0.25">
      <c r="A1405" s="16">
        <v>377</v>
      </c>
      <c r="B1405" s="20">
        <v>11</v>
      </c>
      <c r="C1405" s="16" t="s">
        <v>7</v>
      </c>
      <c r="D1405" s="16" t="s">
        <v>2</v>
      </c>
      <c r="E1405" s="17">
        <v>0.95499999999999996</v>
      </c>
      <c r="F1405" s="18">
        <v>150000</v>
      </c>
      <c r="N1405" s="21"/>
      <c r="O1405" s="22"/>
    </row>
    <row r="1406" spans="1:15" s="10" customFormat="1" x14ac:dyDescent="0.25">
      <c r="A1406" s="16">
        <v>377</v>
      </c>
      <c r="B1406" s="16">
        <v>12</v>
      </c>
      <c r="C1406" s="16">
        <v>20</v>
      </c>
      <c r="D1406" s="16" t="s">
        <v>2</v>
      </c>
      <c r="E1406" s="17">
        <f>1.23-0.556</f>
        <v>0.67399999999999993</v>
      </c>
      <c r="F1406" s="18">
        <f>74700+3000+1000</f>
        <v>78700</v>
      </c>
      <c r="N1406" s="21"/>
      <c r="O1406" s="22"/>
    </row>
    <row r="1407" spans="1:15" s="10" customFormat="1" x14ac:dyDescent="0.25">
      <c r="A1407" s="16">
        <v>377</v>
      </c>
      <c r="B1407" s="16">
        <v>12</v>
      </c>
      <c r="C1407" s="16" t="s">
        <v>0</v>
      </c>
      <c r="D1407" s="16" t="s">
        <v>2</v>
      </c>
      <c r="E1407" s="17">
        <v>2</v>
      </c>
      <c r="F1407" s="18">
        <v>81700</v>
      </c>
      <c r="N1407" s="21"/>
      <c r="O1407" s="22"/>
    </row>
    <row r="1408" spans="1:15" s="10" customFormat="1" x14ac:dyDescent="0.25">
      <c r="A1408" s="16">
        <v>377</v>
      </c>
      <c r="B1408" s="16">
        <v>12</v>
      </c>
      <c r="C1408" s="16" t="s">
        <v>8</v>
      </c>
      <c r="D1408" s="16" t="s">
        <v>9</v>
      </c>
      <c r="E1408" s="17">
        <v>3.2989999999999999</v>
      </c>
      <c r="F1408" s="18">
        <v>350000</v>
      </c>
      <c r="N1408" s="21"/>
      <c r="O1408" s="22"/>
    </row>
    <row r="1409" spans="1:15" s="10" customFormat="1" x14ac:dyDescent="0.25">
      <c r="A1409" s="16">
        <v>377</v>
      </c>
      <c r="B1409" s="16">
        <v>12</v>
      </c>
      <c r="C1409" s="16" t="s">
        <v>8</v>
      </c>
      <c r="D1409" s="16" t="s">
        <v>9</v>
      </c>
      <c r="E1409" s="17">
        <v>2.9689999999999999</v>
      </c>
      <c r="F1409" s="18">
        <v>350000</v>
      </c>
      <c r="N1409" s="21"/>
      <c r="O1409" s="22"/>
    </row>
    <row r="1410" spans="1:15" s="10" customFormat="1" x14ac:dyDescent="0.25">
      <c r="A1410" s="16">
        <v>377</v>
      </c>
      <c r="B1410" s="16">
        <v>14</v>
      </c>
      <c r="C1410" s="16" t="s">
        <v>0</v>
      </c>
      <c r="D1410" s="16" t="s">
        <v>2</v>
      </c>
      <c r="E1410" s="17">
        <f>4.031-0.042-0.063-1.833-0.662</f>
        <v>1.431</v>
      </c>
      <c r="F1410" s="18">
        <f>77700+3000+1000</f>
        <v>81700</v>
      </c>
      <c r="N1410" s="21"/>
      <c r="O1410" s="22"/>
    </row>
    <row r="1411" spans="1:15" s="10" customFormat="1" x14ac:dyDescent="0.25">
      <c r="A1411" s="16">
        <v>377</v>
      </c>
      <c r="B1411" s="16">
        <v>14</v>
      </c>
      <c r="C1411" s="16" t="s">
        <v>8</v>
      </c>
      <c r="D1411" s="16" t="s">
        <v>9</v>
      </c>
      <c r="E1411" s="17">
        <v>0.53</v>
      </c>
      <c r="F1411" s="18">
        <v>350000</v>
      </c>
      <c r="N1411" s="21"/>
      <c r="O1411" s="22"/>
    </row>
    <row r="1412" spans="1:15" s="10" customFormat="1" x14ac:dyDescent="0.25">
      <c r="A1412" s="16">
        <v>377</v>
      </c>
      <c r="B1412" s="16">
        <v>14</v>
      </c>
      <c r="C1412" s="16" t="s">
        <v>8</v>
      </c>
      <c r="D1412" s="16" t="s">
        <v>9</v>
      </c>
      <c r="E1412" s="17">
        <v>3.024</v>
      </c>
      <c r="F1412" s="18">
        <v>350000</v>
      </c>
      <c r="N1412" s="21"/>
      <c r="O1412" s="22"/>
    </row>
    <row r="1413" spans="1:15" s="10" customFormat="1" x14ac:dyDescent="0.25">
      <c r="A1413" s="16">
        <v>377</v>
      </c>
      <c r="B1413" s="16">
        <v>16</v>
      </c>
      <c r="C1413" s="16">
        <v>20</v>
      </c>
      <c r="D1413" s="16" t="s">
        <v>2</v>
      </c>
      <c r="E1413" s="17">
        <f>0.902-0.156-0.046-0.032-0.149</f>
        <v>0.51899999999999991</v>
      </c>
      <c r="F1413" s="18">
        <f>74700+3000+1000</f>
        <v>78700</v>
      </c>
      <c r="N1413" s="21"/>
      <c r="O1413" s="22"/>
    </row>
    <row r="1414" spans="1:15" s="10" customFormat="1" x14ac:dyDescent="0.25">
      <c r="A1414" s="16">
        <v>377</v>
      </c>
      <c r="B1414" s="16">
        <v>16</v>
      </c>
      <c r="C1414" s="16">
        <v>20</v>
      </c>
      <c r="D1414" s="16" t="s">
        <v>2</v>
      </c>
      <c r="E1414" s="17">
        <v>3.988</v>
      </c>
      <c r="F1414" s="18">
        <f>74700+3000+1000</f>
        <v>78700</v>
      </c>
      <c r="N1414" s="21"/>
      <c r="O1414" s="22"/>
    </row>
    <row r="1415" spans="1:15" s="10" customFormat="1" x14ac:dyDescent="0.25">
      <c r="A1415" s="16">
        <v>377</v>
      </c>
      <c r="B1415" s="16">
        <v>16</v>
      </c>
      <c r="C1415" s="16">
        <v>20</v>
      </c>
      <c r="D1415" s="16" t="s">
        <v>4</v>
      </c>
      <c r="E1415" s="17">
        <f>3.139-0.156-1.429</f>
        <v>1.5539999999999996</v>
      </c>
      <c r="F1415" s="18">
        <v>110000</v>
      </c>
      <c r="N1415" s="21"/>
      <c r="O1415" s="22"/>
    </row>
    <row r="1416" spans="1:15" s="10" customFormat="1" x14ac:dyDescent="0.25">
      <c r="A1416" s="16">
        <v>377</v>
      </c>
      <c r="B1416" s="16">
        <v>16</v>
      </c>
      <c r="C1416" s="16" t="s">
        <v>0</v>
      </c>
      <c r="D1416" s="16" t="s">
        <v>2</v>
      </c>
      <c r="E1416" s="17">
        <f>5.614-1.436-0.074-1.382-0.104</f>
        <v>2.6180000000000003</v>
      </c>
      <c r="F1416" s="18">
        <f>77700+3000+1000</f>
        <v>81700</v>
      </c>
      <c r="N1416" s="21"/>
      <c r="O1416" s="22"/>
    </row>
    <row r="1417" spans="1:15" s="10" customFormat="1" x14ac:dyDescent="0.25">
      <c r="A1417" s="16">
        <v>377</v>
      </c>
      <c r="B1417" s="16">
        <v>16</v>
      </c>
      <c r="C1417" s="16" t="s">
        <v>8</v>
      </c>
      <c r="D1417" s="16" t="s">
        <v>9</v>
      </c>
      <c r="E1417" s="17">
        <v>3.956</v>
      </c>
      <c r="F1417" s="18">
        <v>350000</v>
      </c>
      <c r="N1417" s="21"/>
      <c r="O1417" s="22"/>
    </row>
    <row r="1418" spans="1:15" s="10" customFormat="1" x14ac:dyDescent="0.25">
      <c r="A1418" s="16">
        <v>377</v>
      </c>
      <c r="B1418" s="16">
        <v>18</v>
      </c>
      <c r="C1418" s="16">
        <v>20</v>
      </c>
      <c r="D1418" s="16" t="s">
        <v>4</v>
      </c>
      <c r="E1418" s="17">
        <f>12.074-7.439-0.02</f>
        <v>4.6150000000000002</v>
      </c>
      <c r="F1418" s="18">
        <v>110000</v>
      </c>
      <c r="N1418" s="21"/>
      <c r="O1418" s="22"/>
    </row>
    <row r="1419" spans="1:15" s="10" customFormat="1" x14ac:dyDescent="0.25">
      <c r="A1419" s="16">
        <v>377</v>
      </c>
      <c r="B1419" s="16">
        <v>18</v>
      </c>
      <c r="C1419" s="16" t="s">
        <v>0</v>
      </c>
      <c r="D1419" s="16" t="s">
        <v>2</v>
      </c>
      <c r="E1419" s="17">
        <f>19.962-0.107-0.242-3.07-7.158+0.002-1.302-3.437-1.621+0.184-0.19</f>
        <v>3.0209999999999999</v>
      </c>
      <c r="F1419" s="18">
        <f>77700+3000+1000</f>
        <v>81700</v>
      </c>
      <c r="N1419" s="21"/>
      <c r="O1419" s="22"/>
    </row>
    <row r="1420" spans="1:15" s="10" customFormat="1" x14ac:dyDescent="0.25">
      <c r="A1420" s="16">
        <v>377</v>
      </c>
      <c r="B1420" s="16">
        <v>18</v>
      </c>
      <c r="C1420" s="16" t="s">
        <v>0</v>
      </c>
      <c r="D1420" s="16" t="s">
        <v>2</v>
      </c>
      <c r="E1420" s="17">
        <f>3.093-1.513+0.001</f>
        <v>1.581</v>
      </c>
      <c r="F1420" s="18">
        <f>77700+3000+1000</f>
        <v>81700</v>
      </c>
      <c r="N1420" s="21"/>
      <c r="O1420" s="22"/>
    </row>
    <row r="1421" spans="1:15" s="10" customFormat="1" x14ac:dyDescent="0.25">
      <c r="A1421" s="16">
        <v>377</v>
      </c>
      <c r="B1421" s="16">
        <v>19</v>
      </c>
      <c r="C1421" s="16">
        <v>20</v>
      </c>
      <c r="D1421" s="16" t="s">
        <v>4</v>
      </c>
      <c r="E1421" s="17">
        <v>1.4079999999999999</v>
      </c>
      <c r="F1421" s="18">
        <v>125700</v>
      </c>
      <c r="N1421" s="21"/>
      <c r="O1421" s="22"/>
    </row>
    <row r="1422" spans="1:15" s="10" customFormat="1" x14ac:dyDescent="0.25">
      <c r="A1422" s="16">
        <v>377</v>
      </c>
      <c r="B1422" s="16">
        <v>20</v>
      </c>
      <c r="C1422" s="16">
        <v>20</v>
      </c>
      <c r="D1422" s="16" t="s">
        <v>2</v>
      </c>
      <c r="E1422" s="17">
        <v>2.3180000000000001</v>
      </c>
      <c r="F1422" s="18">
        <f>74700+3000+1000</f>
        <v>78700</v>
      </c>
      <c r="N1422" s="21"/>
      <c r="O1422" s="23"/>
    </row>
    <row r="1423" spans="1:15" s="10" customFormat="1" x14ac:dyDescent="0.25">
      <c r="A1423" s="16">
        <v>377</v>
      </c>
      <c r="B1423" s="16">
        <v>20</v>
      </c>
      <c r="C1423" s="16">
        <v>20</v>
      </c>
      <c r="D1423" s="16" t="s">
        <v>85</v>
      </c>
      <c r="E1423" s="17">
        <v>9.0359999999999996</v>
      </c>
      <c r="F1423" s="18">
        <f>77700+1000</f>
        <v>78700</v>
      </c>
      <c r="N1423" s="21"/>
      <c r="O1423" s="22"/>
    </row>
    <row r="1424" spans="1:15" s="10" customFormat="1" x14ac:dyDescent="0.25">
      <c r="A1424" s="16">
        <v>377</v>
      </c>
      <c r="B1424" s="16">
        <v>20</v>
      </c>
      <c r="C1424" s="16">
        <v>20</v>
      </c>
      <c r="D1424" s="16" t="s">
        <v>85</v>
      </c>
      <c r="E1424" s="17">
        <v>1.6379999999999999</v>
      </c>
      <c r="F1424" s="18">
        <f>77700+1000</f>
        <v>78700</v>
      </c>
      <c r="N1424" s="21"/>
      <c r="O1424" s="22"/>
    </row>
    <row r="1425" spans="1:15" s="10" customFormat="1" x14ac:dyDescent="0.25">
      <c r="A1425" s="16">
        <v>377</v>
      </c>
      <c r="B1425" s="16">
        <v>20</v>
      </c>
      <c r="C1425" s="16" t="s">
        <v>0</v>
      </c>
      <c r="D1425" s="16" t="s">
        <v>13</v>
      </c>
      <c r="E1425" s="17">
        <v>1.1160000000000001</v>
      </c>
      <c r="F1425" s="18">
        <f>87700+1000</f>
        <v>88700</v>
      </c>
      <c r="N1425" s="21"/>
      <c r="O1425" s="22"/>
    </row>
    <row r="1426" spans="1:15" s="10" customFormat="1" x14ac:dyDescent="0.25">
      <c r="A1426" s="16">
        <v>377</v>
      </c>
      <c r="B1426" s="16">
        <v>20</v>
      </c>
      <c r="C1426" s="16" t="s">
        <v>0</v>
      </c>
      <c r="D1426" s="16" t="s">
        <v>2</v>
      </c>
      <c r="E1426" s="17">
        <f>4.159-0.089</f>
        <v>4.0699999999999994</v>
      </c>
      <c r="F1426" s="18">
        <f>77700+3000+1000</f>
        <v>81700</v>
      </c>
      <c r="N1426" s="21"/>
      <c r="O1426" s="22"/>
    </row>
    <row r="1427" spans="1:15" s="10" customFormat="1" x14ac:dyDescent="0.25">
      <c r="A1427" s="16">
        <v>377</v>
      </c>
      <c r="B1427" s="16">
        <v>22</v>
      </c>
      <c r="C1427" s="16" t="s">
        <v>8</v>
      </c>
      <c r="D1427" s="16" t="s">
        <v>9</v>
      </c>
      <c r="E1427" s="17">
        <v>4.32</v>
      </c>
      <c r="F1427" s="18">
        <v>350000</v>
      </c>
      <c r="N1427" s="21"/>
      <c r="O1427" s="22"/>
    </row>
    <row r="1428" spans="1:15" s="10" customFormat="1" x14ac:dyDescent="0.25">
      <c r="A1428" s="16">
        <v>377</v>
      </c>
      <c r="B1428" s="19">
        <v>22</v>
      </c>
      <c r="C1428" s="16" t="s">
        <v>7</v>
      </c>
      <c r="D1428" s="16" t="s">
        <v>2</v>
      </c>
      <c r="E1428" s="17">
        <f>1.597-0.207</f>
        <v>1.39</v>
      </c>
      <c r="F1428" s="18">
        <v>150000</v>
      </c>
      <c r="N1428" s="21"/>
      <c r="O1428" s="22"/>
    </row>
    <row r="1429" spans="1:15" s="10" customFormat="1" x14ac:dyDescent="0.25">
      <c r="A1429" s="16">
        <v>377</v>
      </c>
      <c r="B1429" s="16">
        <v>23</v>
      </c>
      <c r="C1429" s="16">
        <v>20</v>
      </c>
      <c r="D1429" s="16" t="s">
        <v>10</v>
      </c>
      <c r="E1429" s="17">
        <v>1.61</v>
      </c>
      <c r="F1429" s="18">
        <f>77700+1000</f>
        <v>78700</v>
      </c>
      <c r="N1429" s="21"/>
      <c r="O1429" s="22"/>
    </row>
    <row r="1430" spans="1:15" s="10" customFormat="1" x14ac:dyDescent="0.25">
      <c r="A1430" s="16">
        <v>377</v>
      </c>
      <c r="B1430" s="16">
        <v>24</v>
      </c>
      <c r="C1430" s="16">
        <v>20</v>
      </c>
      <c r="D1430" s="16" t="s">
        <v>2</v>
      </c>
      <c r="E1430" s="17">
        <f>1.08-0.099</f>
        <v>0.98100000000000009</v>
      </c>
      <c r="F1430" s="18">
        <f>77700+1000</f>
        <v>78700</v>
      </c>
      <c r="N1430" s="21"/>
      <c r="O1430" s="22"/>
    </row>
    <row r="1431" spans="1:15" s="10" customFormat="1" x14ac:dyDescent="0.25">
      <c r="A1431" s="16">
        <v>377</v>
      </c>
      <c r="B1431" s="16">
        <v>24</v>
      </c>
      <c r="C1431" s="16" t="s">
        <v>30</v>
      </c>
      <c r="D1431" s="16" t="s">
        <v>2</v>
      </c>
      <c r="E1431" s="17">
        <v>1.6719999999999999</v>
      </c>
      <c r="F1431" s="18">
        <f>89700+1000</f>
        <v>90700</v>
      </c>
      <c r="N1431" s="21"/>
      <c r="O1431" s="22"/>
    </row>
    <row r="1432" spans="1:15" s="10" customFormat="1" x14ac:dyDescent="0.25">
      <c r="A1432" s="16">
        <v>377</v>
      </c>
      <c r="B1432" s="16">
        <v>24</v>
      </c>
      <c r="C1432" s="16" t="s">
        <v>30</v>
      </c>
      <c r="D1432" s="16" t="s">
        <v>2</v>
      </c>
      <c r="E1432" s="17">
        <v>9.5000000000000001E-2</v>
      </c>
      <c r="F1432" s="18">
        <f>89700+1000</f>
        <v>90700</v>
      </c>
      <c r="N1432" s="21"/>
      <c r="O1432" s="22"/>
    </row>
    <row r="1433" spans="1:15" s="10" customFormat="1" x14ac:dyDescent="0.25">
      <c r="A1433" s="16">
        <v>377</v>
      </c>
      <c r="B1433" s="16">
        <v>25</v>
      </c>
      <c r="C1433" s="16">
        <v>20</v>
      </c>
      <c r="D1433" s="16" t="s">
        <v>2</v>
      </c>
      <c r="E1433" s="17">
        <f>2.467-1.414</f>
        <v>1.0530000000000002</v>
      </c>
      <c r="F1433" s="18">
        <f>74700+3000+1000</f>
        <v>78700</v>
      </c>
      <c r="N1433" s="21"/>
      <c r="O1433" s="22"/>
    </row>
    <row r="1434" spans="1:15" s="10" customFormat="1" x14ac:dyDescent="0.25">
      <c r="A1434" s="16">
        <v>377</v>
      </c>
      <c r="B1434" s="16">
        <v>25</v>
      </c>
      <c r="C1434" s="16" t="s">
        <v>0</v>
      </c>
      <c r="D1434" s="16" t="s">
        <v>2</v>
      </c>
      <c r="E1434" s="17">
        <v>1.6220000000000001</v>
      </c>
      <c r="F1434" s="18">
        <f>77700+3000+1000</f>
        <v>81700</v>
      </c>
      <c r="N1434" s="21"/>
      <c r="O1434" s="22"/>
    </row>
    <row r="1435" spans="1:15" s="10" customFormat="1" x14ac:dyDescent="0.25">
      <c r="A1435" s="16">
        <v>377</v>
      </c>
      <c r="B1435" s="16">
        <v>25</v>
      </c>
      <c r="C1435" s="16" t="s">
        <v>0</v>
      </c>
      <c r="D1435" s="16" t="s">
        <v>2</v>
      </c>
      <c r="E1435" s="17">
        <f>1.329-0.109</f>
        <v>1.22</v>
      </c>
      <c r="F1435" s="18">
        <f>77700+3000+1000</f>
        <v>81700</v>
      </c>
      <c r="N1435" s="21"/>
      <c r="O1435" s="22"/>
    </row>
    <row r="1436" spans="1:15" s="10" customFormat="1" x14ac:dyDescent="0.25">
      <c r="A1436" s="16">
        <v>377</v>
      </c>
      <c r="B1436" s="16">
        <v>25</v>
      </c>
      <c r="C1436" s="16" t="s">
        <v>0</v>
      </c>
      <c r="D1436" s="16" t="s">
        <v>2</v>
      </c>
      <c r="E1436" s="17">
        <v>5.4580000000000002</v>
      </c>
      <c r="F1436" s="18">
        <v>81700</v>
      </c>
      <c r="N1436" s="21"/>
      <c r="O1436" s="22"/>
    </row>
    <row r="1437" spans="1:15" s="10" customFormat="1" x14ac:dyDescent="0.25">
      <c r="A1437" s="16">
        <v>377</v>
      </c>
      <c r="B1437" s="16">
        <v>25</v>
      </c>
      <c r="C1437" s="16" t="s">
        <v>5</v>
      </c>
      <c r="D1437" s="16" t="s">
        <v>2</v>
      </c>
      <c r="E1437" s="17">
        <v>4.133</v>
      </c>
      <c r="F1437" s="18">
        <f>135700+1000</f>
        <v>136700</v>
      </c>
      <c r="N1437" s="21"/>
      <c r="O1437" s="22"/>
    </row>
    <row r="1438" spans="1:15" s="10" customFormat="1" x14ac:dyDescent="0.25">
      <c r="A1438" s="16">
        <v>377</v>
      </c>
      <c r="B1438" s="16">
        <v>25</v>
      </c>
      <c r="C1438" s="16" t="s">
        <v>5</v>
      </c>
      <c r="D1438" s="16" t="s">
        <v>2</v>
      </c>
      <c r="E1438" s="17">
        <f>2.85-0.115-0.127</f>
        <v>2.6079999999999997</v>
      </c>
      <c r="F1438" s="18">
        <f>135700+1000</f>
        <v>136700</v>
      </c>
      <c r="N1438" s="21"/>
      <c r="O1438" s="22"/>
    </row>
    <row r="1439" spans="1:15" s="10" customFormat="1" x14ac:dyDescent="0.25">
      <c r="A1439" s="16">
        <v>377</v>
      </c>
      <c r="B1439" s="16">
        <v>26</v>
      </c>
      <c r="C1439" s="16">
        <v>20</v>
      </c>
      <c r="D1439" s="16" t="s">
        <v>2</v>
      </c>
      <c r="E1439" s="17">
        <v>2.141</v>
      </c>
      <c r="F1439" s="18">
        <f>74700+3000+1000</f>
        <v>78700</v>
      </c>
      <c r="N1439" s="21"/>
      <c r="O1439" s="22"/>
    </row>
    <row r="1440" spans="1:15" s="10" customFormat="1" x14ac:dyDescent="0.25">
      <c r="A1440" s="16">
        <v>377</v>
      </c>
      <c r="B1440" s="16">
        <v>26</v>
      </c>
      <c r="C1440" s="16" t="s">
        <v>0</v>
      </c>
      <c r="D1440" s="16" t="s">
        <v>2</v>
      </c>
      <c r="E1440" s="17">
        <v>2.0310000000000001</v>
      </c>
      <c r="F1440" s="18">
        <f>77700+3000+1000</f>
        <v>81700</v>
      </c>
      <c r="N1440" s="21"/>
      <c r="O1440" s="22"/>
    </row>
    <row r="1441" spans="1:15" s="10" customFormat="1" x14ac:dyDescent="0.25">
      <c r="A1441" s="16">
        <v>377</v>
      </c>
      <c r="B1441" s="16">
        <v>30</v>
      </c>
      <c r="C1441" s="16">
        <v>20</v>
      </c>
      <c r="D1441" s="16" t="s">
        <v>85</v>
      </c>
      <c r="E1441" s="17">
        <v>11.496</v>
      </c>
      <c r="F1441" s="18">
        <f>77700+1000</f>
        <v>78700</v>
      </c>
      <c r="N1441" s="21"/>
      <c r="O1441" s="22"/>
    </row>
    <row r="1442" spans="1:15" s="10" customFormat="1" x14ac:dyDescent="0.25">
      <c r="A1442" s="16">
        <v>377</v>
      </c>
      <c r="B1442" s="16">
        <v>32</v>
      </c>
      <c r="C1442" s="16">
        <v>35</v>
      </c>
      <c r="D1442" s="16" t="s">
        <v>2</v>
      </c>
      <c r="E1442" s="17">
        <v>10.48</v>
      </c>
      <c r="F1442" s="18">
        <f>93700+3000+1000</f>
        <v>97700</v>
      </c>
      <c r="N1442" s="21"/>
      <c r="O1442" s="22"/>
    </row>
    <row r="1443" spans="1:15" s="10" customFormat="1" x14ac:dyDescent="0.25">
      <c r="A1443" s="16">
        <v>377</v>
      </c>
      <c r="B1443" s="16">
        <v>32</v>
      </c>
      <c r="C1443" s="16">
        <v>35</v>
      </c>
      <c r="D1443" s="16" t="s">
        <v>85</v>
      </c>
      <c r="E1443" s="17">
        <v>12.741</v>
      </c>
      <c r="F1443" s="18">
        <v>97700</v>
      </c>
      <c r="N1443" s="21"/>
      <c r="O1443" s="22"/>
    </row>
    <row r="1444" spans="1:15" s="10" customFormat="1" x14ac:dyDescent="0.25">
      <c r="A1444" s="16">
        <v>377</v>
      </c>
      <c r="B1444" s="16">
        <v>32</v>
      </c>
      <c r="C1444" s="16" t="s">
        <v>0</v>
      </c>
      <c r="D1444" s="16" t="s">
        <v>2</v>
      </c>
      <c r="E1444" s="17">
        <f>3.327-0.281+0.001-0.692-0.284</f>
        <v>2.0709999999999997</v>
      </c>
      <c r="F1444" s="18">
        <f>96700+3000+1000</f>
        <v>100700</v>
      </c>
      <c r="N1444" s="21"/>
      <c r="O1444" s="22"/>
    </row>
    <row r="1445" spans="1:15" s="10" customFormat="1" x14ac:dyDescent="0.25">
      <c r="A1445" s="16">
        <v>377</v>
      </c>
      <c r="B1445" s="16">
        <v>32</v>
      </c>
      <c r="C1445" s="16" t="s">
        <v>5</v>
      </c>
      <c r="D1445" s="16" t="s">
        <v>2</v>
      </c>
      <c r="E1445" s="17">
        <v>10</v>
      </c>
      <c r="F1445" s="18">
        <v>200000</v>
      </c>
      <c r="N1445" s="21"/>
      <c r="O1445" s="22"/>
    </row>
    <row r="1446" spans="1:15" x14ac:dyDescent="0.25">
      <c r="A1446" s="16">
        <v>377</v>
      </c>
      <c r="B1446" s="16">
        <v>36</v>
      </c>
      <c r="C1446" s="16">
        <v>20</v>
      </c>
      <c r="D1446" s="16" t="s">
        <v>2</v>
      </c>
      <c r="E1446" s="17">
        <f>24.155-6.25-0.081-6.332-1.923-1.888-1.87-0.944-1.864-0.312</f>
        <v>2.6910000000000012</v>
      </c>
      <c r="F1446" s="18">
        <f>91700+3000+1000</f>
        <v>95700</v>
      </c>
      <c r="N1446" s="21"/>
      <c r="O1446" s="22"/>
    </row>
    <row r="1447" spans="1:15" x14ac:dyDescent="0.25">
      <c r="A1447" s="16">
        <v>377</v>
      </c>
      <c r="B1447" s="16">
        <v>36</v>
      </c>
      <c r="C1447" s="16">
        <v>20</v>
      </c>
      <c r="D1447" s="16" t="s">
        <v>85</v>
      </c>
      <c r="E1447" s="17">
        <v>21.2</v>
      </c>
      <c r="F1447" s="18">
        <f>94700+1000</f>
        <v>95700</v>
      </c>
      <c r="N1447" s="21"/>
      <c r="O1447" s="22"/>
    </row>
    <row r="1448" spans="1:15" x14ac:dyDescent="0.25">
      <c r="A1448" s="16">
        <v>377</v>
      </c>
      <c r="B1448" s="16">
        <v>36</v>
      </c>
      <c r="C1448" s="16">
        <v>35</v>
      </c>
      <c r="D1448" s="16" t="s">
        <v>2</v>
      </c>
      <c r="E1448" s="17">
        <f>10.202-4.273-4.207</f>
        <v>1.7220000000000004</v>
      </c>
      <c r="F1448" s="18">
        <f>93700+3000+1000</f>
        <v>97700</v>
      </c>
      <c r="N1448" s="21"/>
      <c r="O1448" s="22"/>
    </row>
    <row r="1449" spans="1:15" x14ac:dyDescent="0.25">
      <c r="A1449" s="16">
        <v>377</v>
      </c>
      <c r="B1449" s="16">
        <v>36</v>
      </c>
      <c r="C1449" s="16">
        <v>45</v>
      </c>
      <c r="D1449" s="16" t="s">
        <v>2</v>
      </c>
      <c r="E1449" s="17">
        <f>10.85-1.207-0.063-0.862-2.203-0.326-0.442-0.489-0.326-2.181-2.181+0.013-0.066-0.317+0.004</f>
        <v>0.20399999999999946</v>
      </c>
      <c r="F1449" s="18">
        <f>93700+3000+1000</f>
        <v>97700</v>
      </c>
      <c r="N1449" s="21"/>
      <c r="O1449" s="22"/>
    </row>
    <row r="1450" spans="1:15" x14ac:dyDescent="0.25">
      <c r="A1450" s="16">
        <v>377</v>
      </c>
      <c r="B1450" s="16">
        <v>36</v>
      </c>
      <c r="C1450" s="16">
        <v>45</v>
      </c>
      <c r="D1450" s="16" t="s">
        <v>85</v>
      </c>
      <c r="E1450" s="17">
        <v>19.677</v>
      </c>
      <c r="F1450" s="18">
        <f>96700+1000</f>
        <v>97700</v>
      </c>
      <c r="N1450" s="21"/>
      <c r="O1450" s="22"/>
    </row>
    <row r="1451" spans="1:15" x14ac:dyDescent="0.25">
      <c r="A1451" s="16">
        <v>377</v>
      </c>
      <c r="B1451" s="16">
        <v>36</v>
      </c>
      <c r="C1451" s="16" t="s">
        <v>0</v>
      </c>
      <c r="D1451" s="16" t="s">
        <v>2</v>
      </c>
      <c r="E1451" s="17">
        <v>8.6050000000000004</v>
      </c>
      <c r="F1451" s="18">
        <f>96700+3000+1000</f>
        <v>100700</v>
      </c>
      <c r="N1451" s="21"/>
      <c r="O1451" s="22"/>
    </row>
    <row r="1452" spans="1:15" x14ac:dyDescent="0.25">
      <c r="A1452" s="16">
        <v>377</v>
      </c>
      <c r="B1452" s="16">
        <v>36</v>
      </c>
      <c r="C1452" s="16" t="s">
        <v>0</v>
      </c>
      <c r="D1452" s="16" t="s">
        <v>2</v>
      </c>
      <c r="E1452" s="17">
        <v>2.13</v>
      </c>
      <c r="F1452" s="18">
        <f>96700+3000+1000</f>
        <v>100700</v>
      </c>
      <c r="N1452" s="21"/>
      <c r="O1452" s="22"/>
    </row>
    <row r="1453" spans="1:15" x14ac:dyDescent="0.25">
      <c r="A1453" s="16">
        <v>377</v>
      </c>
      <c r="B1453" s="16">
        <v>36</v>
      </c>
      <c r="C1453" s="16" t="s">
        <v>0</v>
      </c>
      <c r="D1453" s="16" t="s">
        <v>10</v>
      </c>
      <c r="E1453" s="17">
        <f>2.427-0.621</f>
        <v>1.806</v>
      </c>
      <c r="F1453" s="18">
        <f>99700+1000</f>
        <v>100700</v>
      </c>
      <c r="N1453" s="21"/>
      <c r="O1453" s="22"/>
    </row>
    <row r="1454" spans="1:15" x14ac:dyDescent="0.25">
      <c r="A1454" s="16">
        <v>377</v>
      </c>
      <c r="B1454" s="16">
        <v>36</v>
      </c>
      <c r="C1454" s="16" t="s">
        <v>5</v>
      </c>
      <c r="D1454" s="16" t="s">
        <v>2</v>
      </c>
      <c r="E1454" s="17">
        <v>5.9870000000000001</v>
      </c>
      <c r="F1454" s="18">
        <v>200000</v>
      </c>
      <c r="N1454" s="21"/>
      <c r="O1454" s="22"/>
    </row>
    <row r="1455" spans="1:15" x14ac:dyDescent="0.25">
      <c r="A1455" s="16">
        <v>377</v>
      </c>
      <c r="B1455" s="16">
        <v>40</v>
      </c>
      <c r="C1455" s="16">
        <v>45</v>
      </c>
      <c r="D1455" s="16" t="s">
        <v>2</v>
      </c>
      <c r="E1455" s="17">
        <f>10.353-8.251</f>
        <v>2.1020000000000003</v>
      </c>
      <c r="F1455" s="18">
        <f>96700+1000</f>
        <v>97700</v>
      </c>
      <c r="N1455" s="21"/>
      <c r="O1455" s="22"/>
    </row>
    <row r="1456" spans="1:15" x14ac:dyDescent="0.25">
      <c r="A1456" s="16">
        <v>377</v>
      </c>
      <c r="B1456" s="16">
        <v>40</v>
      </c>
      <c r="C1456" s="16">
        <v>45</v>
      </c>
      <c r="D1456" s="16" t="s">
        <v>85</v>
      </c>
      <c r="E1456" s="17">
        <v>8.9670000000000005</v>
      </c>
      <c r="F1456" s="18">
        <f>96700+1000</f>
        <v>97700</v>
      </c>
      <c r="N1456" s="21"/>
      <c r="O1456" s="22"/>
    </row>
    <row r="1457" spans="1:15" x14ac:dyDescent="0.25">
      <c r="A1457" s="16">
        <v>377</v>
      </c>
      <c r="B1457" s="16">
        <v>40</v>
      </c>
      <c r="C1457" s="16">
        <v>45</v>
      </c>
      <c r="D1457" s="16" t="s">
        <v>85</v>
      </c>
      <c r="E1457" s="17">
        <v>2.2000000000000002</v>
      </c>
      <c r="F1457" s="18">
        <f>96700+1000</f>
        <v>97700</v>
      </c>
      <c r="N1457" s="21"/>
      <c r="O1457" s="22"/>
    </row>
    <row r="1458" spans="1:15" x14ac:dyDescent="0.25">
      <c r="A1458" s="16">
        <v>377</v>
      </c>
      <c r="B1458" s="16">
        <v>40</v>
      </c>
      <c r="C1458" s="16" t="s">
        <v>5</v>
      </c>
      <c r="D1458" s="16" t="s">
        <v>2</v>
      </c>
      <c r="E1458" s="17">
        <f>9.944-0.176-0.221</f>
        <v>9.5470000000000006</v>
      </c>
      <c r="F1458" s="18">
        <v>200000</v>
      </c>
      <c r="N1458" s="21"/>
      <c r="O1458" s="22"/>
    </row>
    <row r="1459" spans="1:15" x14ac:dyDescent="0.25">
      <c r="A1459" s="16">
        <v>377</v>
      </c>
      <c r="B1459" s="16">
        <v>45</v>
      </c>
      <c r="C1459" s="16">
        <v>35</v>
      </c>
      <c r="D1459" s="16" t="s">
        <v>85</v>
      </c>
      <c r="E1459" s="17">
        <v>11.07</v>
      </c>
      <c r="F1459" s="18">
        <f>96700+1000</f>
        <v>97700</v>
      </c>
      <c r="N1459" s="21"/>
      <c r="O1459" s="22"/>
    </row>
    <row r="1460" spans="1:15" x14ac:dyDescent="0.25">
      <c r="A1460" s="16">
        <v>377</v>
      </c>
      <c r="B1460" s="16">
        <v>50</v>
      </c>
      <c r="C1460" s="16">
        <v>20</v>
      </c>
      <c r="D1460" s="16" t="s">
        <v>2</v>
      </c>
      <c r="E1460" s="17">
        <f>9.83-2.412+0.001-2.412-0.44-0.419-0.097</f>
        <v>4.0510000000000002</v>
      </c>
      <c r="F1460" s="18">
        <f>91700+3000+1000</f>
        <v>95700</v>
      </c>
      <c r="N1460" s="21"/>
      <c r="O1460" s="22"/>
    </row>
    <row r="1461" spans="1:15" x14ac:dyDescent="0.25">
      <c r="A1461" s="16">
        <v>377</v>
      </c>
      <c r="B1461" s="16">
        <v>50</v>
      </c>
      <c r="C1461" s="16">
        <v>20</v>
      </c>
      <c r="D1461" s="16" t="s">
        <v>85</v>
      </c>
      <c r="E1461" s="17">
        <f>9.171-2.302</f>
        <v>6.8689999999999998</v>
      </c>
      <c r="F1461" s="18">
        <f>94700+1000</f>
        <v>95700</v>
      </c>
      <c r="N1461" s="21"/>
      <c r="O1461" s="22"/>
    </row>
    <row r="1462" spans="1:15" x14ac:dyDescent="0.25">
      <c r="A1462" s="16">
        <v>377</v>
      </c>
      <c r="B1462" s="16">
        <v>50</v>
      </c>
      <c r="C1462" s="16">
        <v>20</v>
      </c>
      <c r="D1462" s="16" t="s">
        <v>85</v>
      </c>
      <c r="E1462" s="17">
        <v>11.438000000000001</v>
      </c>
      <c r="F1462" s="18">
        <f>94700+1000</f>
        <v>95700</v>
      </c>
      <c r="N1462" s="21"/>
      <c r="O1462" s="22"/>
    </row>
    <row r="1463" spans="1:15" x14ac:dyDescent="0.25">
      <c r="A1463" s="16">
        <v>377</v>
      </c>
      <c r="B1463" s="16">
        <v>50</v>
      </c>
      <c r="C1463" s="16">
        <v>35</v>
      </c>
      <c r="D1463" s="16" t="s">
        <v>85</v>
      </c>
      <c r="E1463" s="17">
        <v>22.571000000000002</v>
      </c>
      <c r="F1463" s="18">
        <f>96700+1000</f>
        <v>97700</v>
      </c>
      <c r="N1463" s="21"/>
      <c r="O1463" s="22"/>
    </row>
    <row r="1464" spans="1:15" x14ac:dyDescent="0.25">
      <c r="A1464" s="16">
        <v>377</v>
      </c>
      <c r="B1464" s="16">
        <v>50</v>
      </c>
      <c r="C1464" s="16">
        <v>45</v>
      </c>
      <c r="D1464" s="16" t="s">
        <v>2</v>
      </c>
      <c r="E1464" s="17">
        <v>2.4550000000000001</v>
      </c>
      <c r="F1464" s="18">
        <f>93700+3000+1000</f>
        <v>97700</v>
      </c>
      <c r="N1464" s="21"/>
      <c r="O1464" s="22"/>
    </row>
    <row r="1465" spans="1:15" x14ac:dyDescent="0.25">
      <c r="A1465" s="16">
        <v>377</v>
      </c>
      <c r="B1465" s="16">
        <v>50</v>
      </c>
      <c r="C1465" s="16">
        <v>45</v>
      </c>
      <c r="D1465" s="16" t="s">
        <v>85</v>
      </c>
      <c r="E1465" s="17">
        <f>11.323-4.618</f>
        <v>6.7050000000000001</v>
      </c>
      <c r="F1465" s="18">
        <f>96700+1000</f>
        <v>97700</v>
      </c>
      <c r="N1465" s="21"/>
      <c r="O1465" s="22"/>
    </row>
    <row r="1466" spans="1:15" x14ac:dyDescent="0.25">
      <c r="A1466" s="16">
        <v>377</v>
      </c>
      <c r="B1466" s="16">
        <v>50</v>
      </c>
      <c r="C1466" s="16" t="s">
        <v>0</v>
      </c>
      <c r="D1466" s="16" t="s">
        <v>2</v>
      </c>
      <c r="E1466" s="17">
        <f>10.332-1.864-0.823-2.041</f>
        <v>5.6039999999999992</v>
      </c>
      <c r="F1466" s="18">
        <f>96700+3000+1000</f>
        <v>100700</v>
      </c>
      <c r="N1466" s="21"/>
      <c r="O1466" s="22"/>
    </row>
    <row r="1467" spans="1:15" x14ac:dyDescent="0.25">
      <c r="A1467" s="16">
        <v>377</v>
      </c>
      <c r="B1467" s="16">
        <v>50</v>
      </c>
      <c r="C1467" s="16" t="s">
        <v>5</v>
      </c>
      <c r="D1467" s="16" t="s">
        <v>2</v>
      </c>
      <c r="E1467" s="17">
        <f>9.178-1.352</f>
        <v>7.8260000000000005</v>
      </c>
      <c r="F1467" s="18">
        <v>200000</v>
      </c>
      <c r="N1467" s="21"/>
      <c r="O1467" s="22"/>
    </row>
    <row r="1468" spans="1:15" x14ac:dyDescent="0.25">
      <c r="A1468" s="16">
        <v>377</v>
      </c>
      <c r="B1468" s="16">
        <v>50</v>
      </c>
      <c r="C1468" s="16">
        <v>20</v>
      </c>
      <c r="D1468" s="16" t="s">
        <v>2</v>
      </c>
      <c r="E1468" s="17">
        <v>1.206</v>
      </c>
      <c r="F1468" s="18">
        <v>95700</v>
      </c>
      <c r="N1468" s="21"/>
      <c r="O1468" s="22"/>
    </row>
    <row r="1469" spans="1:15" x14ac:dyDescent="0.25">
      <c r="A1469" s="16">
        <v>377</v>
      </c>
      <c r="B1469" s="20">
        <v>50</v>
      </c>
      <c r="C1469" s="16">
        <v>20</v>
      </c>
      <c r="D1469" s="16" t="s">
        <v>2</v>
      </c>
      <c r="E1469" s="17">
        <v>0.91800000000000004</v>
      </c>
      <c r="F1469" s="18">
        <v>95700</v>
      </c>
      <c r="N1469" s="21"/>
      <c r="O1469" s="22"/>
    </row>
    <row r="1470" spans="1:15" x14ac:dyDescent="0.25">
      <c r="A1470" s="16">
        <v>377</v>
      </c>
      <c r="B1470" s="16">
        <v>60</v>
      </c>
      <c r="C1470" s="16">
        <v>20</v>
      </c>
      <c r="D1470" s="16" t="s">
        <v>2</v>
      </c>
      <c r="E1470" s="17">
        <f>9.659-2.519-0.258-2.351+0.047-2.085+0.003</f>
        <v>2.4960000000000004</v>
      </c>
      <c r="F1470" s="18">
        <f>91700+3000+1000</f>
        <v>95700</v>
      </c>
      <c r="N1470" s="21"/>
      <c r="O1470" s="22"/>
    </row>
    <row r="1471" spans="1:15" x14ac:dyDescent="0.25">
      <c r="A1471" s="16">
        <v>377</v>
      </c>
      <c r="B1471" s="16">
        <v>60</v>
      </c>
      <c r="C1471" s="16">
        <v>20</v>
      </c>
      <c r="D1471" s="16" t="s">
        <v>2</v>
      </c>
      <c r="E1471" s="17">
        <v>9.0660000000000007</v>
      </c>
      <c r="F1471" s="18">
        <f>91700+3000+1000</f>
        <v>95700</v>
      </c>
      <c r="N1471" s="21"/>
      <c r="O1471" s="22"/>
    </row>
    <row r="1472" spans="1:15" x14ac:dyDescent="0.25">
      <c r="A1472" s="16">
        <v>377</v>
      </c>
      <c r="B1472" s="16">
        <v>60</v>
      </c>
      <c r="C1472" s="16" t="s">
        <v>5</v>
      </c>
      <c r="D1472" s="16" t="s">
        <v>2</v>
      </c>
      <c r="E1472" s="17">
        <v>8.2850000000000001</v>
      </c>
      <c r="F1472" s="18">
        <v>200000</v>
      </c>
      <c r="N1472" s="21"/>
      <c r="O1472" s="22"/>
    </row>
    <row r="1473" spans="1:15" x14ac:dyDescent="0.25">
      <c r="A1473" s="16">
        <v>377</v>
      </c>
      <c r="B1473" s="16">
        <v>60</v>
      </c>
      <c r="C1473" s="16" t="s">
        <v>5</v>
      </c>
      <c r="D1473" s="16" t="s">
        <v>2</v>
      </c>
      <c r="E1473" s="17">
        <v>9.3450000000000006</v>
      </c>
      <c r="F1473" s="18">
        <v>200000</v>
      </c>
      <c r="N1473" s="21"/>
      <c r="O1473" s="22"/>
    </row>
    <row r="1474" spans="1:15" x14ac:dyDescent="0.25">
      <c r="A1474" s="16">
        <v>377</v>
      </c>
      <c r="B1474" s="16">
        <v>60</v>
      </c>
      <c r="C1474" s="16" t="s">
        <v>3</v>
      </c>
      <c r="D1474" s="16" t="s">
        <v>4</v>
      </c>
      <c r="E1474" s="17">
        <f>6.512-0.86-1.561-2.131+0.003</f>
        <v>1.9629999999999994</v>
      </c>
      <c r="F1474" s="18">
        <v>200000</v>
      </c>
      <c r="N1474" s="21"/>
      <c r="O1474" s="22"/>
    </row>
    <row r="1475" spans="1:15" x14ac:dyDescent="0.25">
      <c r="A1475" s="16">
        <v>377</v>
      </c>
      <c r="B1475" s="16">
        <v>70</v>
      </c>
      <c r="C1475" s="16">
        <v>45</v>
      </c>
      <c r="D1475" s="16" t="s">
        <v>2</v>
      </c>
      <c r="E1475" s="17">
        <f>9.36-0.915-2.433-1.31</f>
        <v>4.702</v>
      </c>
      <c r="F1475" s="18">
        <f>93700+3000+1000</f>
        <v>97700</v>
      </c>
      <c r="N1475" s="21"/>
      <c r="O1475" s="22"/>
    </row>
    <row r="1476" spans="1:15" x14ac:dyDescent="0.25">
      <c r="A1476" s="16">
        <v>402</v>
      </c>
      <c r="B1476" s="16">
        <v>20</v>
      </c>
      <c r="C1476" s="16">
        <v>20</v>
      </c>
      <c r="D1476" s="16" t="s">
        <v>2</v>
      </c>
      <c r="E1476" s="17">
        <f>5.474-0.195-0.117-0.396</f>
        <v>4.766</v>
      </c>
      <c r="F1476" s="18">
        <f>79700+1000</f>
        <v>80700</v>
      </c>
      <c r="N1476" s="21"/>
      <c r="O1476" s="22"/>
    </row>
    <row r="1477" spans="1:15" x14ac:dyDescent="0.25">
      <c r="A1477" s="16">
        <v>402</v>
      </c>
      <c r="B1477" s="16">
        <v>25</v>
      </c>
      <c r="C1477" s="16" t="s">
        <v>5</v>
      </c>
      <c r="D1477" s="16" t="s">
        <v>2</v>
      </c>
      <c r="E1477" s="17">
        <f>10.052-0.696-7.786</f>
        <v>1.5700000000000003</v>
      </c>
      <c r="F1477" s="18">
        <v>200000</v>
      </c>
    </row>
    <row r="1478" spans="1:15" x14ac:dyDescent="0.25">
      <c r="A1478" s="16">
        <v>402</v>
      </c>
      <c r="B1478" s="16">
        <v>25</v>
      </c>
      <c r="C1478" s="16" t="s">
        <v>5</v>
      </c>
      <c r="D1478" s="16" t="s">
        <v>2</v>
      </c>
      <c r="E1478" s="17">
        <v>15</v>
      </c>
      <c r="F1478" s="18">
        <v>200000</v>
      </c>
    </row>
    <row r="1479" spans="1:15" x14ac:dyDescent="0.25">
      <c r="A1479" s="16">
        <v>402</v>
      </c>
      <c r="B1479" s="16">
        <v>30</v>
      </c>
      <c r="C1479" s="16" t="s">
        <v>5</v>
      </c>
      <c r="D1479" s="16" t="s">
        <v>2</v>
      </c>
      <c r="E1479" s="17">
        <v>5</v>
      </c>
      <c r="F1479" s="18">
        <v>200000</v>
      </c>
    </row>
    <row r="1480" spans="1:15" x14ac:dyDescent="0.25">
      <c r="A1480" s="16">
        <v>402</v>
      </c>
      <c r="B1480" s="16">
        <v>32</v>
      </c>
      <c r="C1480" s="16">
        <v>20</v>
      </c>
      <c r="D1480" s="16" t="s">
        <v>2</v>
      </c>
      <c r="E1480" s="17">
        <f>9.361-0.439</f>
        <v>8.9220000000000006</v>
      </c>
      <c r="F1480" s="18">
        <f>94700+1000</f>
        <v>95700</v>
      </c>
    </row>
    <row r="1481" spans="1:15" x14ac:dyDescent="0.25">
      <c r="A1481" s="16">
        <v>402</v>
      </c>
      <c r="B1481" s="16">
        <v>32</v>
      </c>
      <c r="C1481" s="16">
        <v>20</v>
      </c>
      <c r="D1481" s="16" t="s">
        <v>2</v>
      </c>
      <c r="E1481" s="17">
        <f>10.037-1.699-2.785</f>
        <v>5.5530000000000008</v>
      </c>
      <c r="F1481" s="18">
        <f>91700+3000+1000</f>
        <v>95700</v>
      </c>
    </row>
    <row r="1482" spans="1:15" x14ac:dyDescent="0.25">
      <c r="A1482" s="16">
        <v>402</v>
      </c>
      <c r="B1482" s="16">
        <v>32</v>
      </c>
      <c r="C1482" s="16">
        <v>20</v>
      </c>
      <c r="D1482" s="16" t="s">
        <v>2</v>
      </c>
      <c r="E1482" s="17">
        <v>2.8820000000000001</v>
      </c>
      <c r="F1482" s="18">
        <f>91700+3000+1000</f>
        <v>95700</v>
      </c>
    </row>
    <row r="1483" spans="1:15" x14ac:dyDescent="0.25">
      <c r="A1483" s="16">
        <v>402</v>
      </c>
      <c r="B1483" s="16">
        <v>32</v>
      </c>
      <c r="C1483" s="16">
        <v>20</v>
      </c>
      <c r="D1483" s="16" t="s">
        <v>2</v>
      </c>
      <c r="E1483" s="17">
        <v>20</v>
      </c>
      <c r="F1483" s="18">
        <f>91700+3000+1000</f>
        <v>95700</v>
      </c>
    </row>
    <row r="1484" spans="1:15" x14ac:dyDescent="0.25">
      <c r="A1484" s="16">
        <v>402</v>
      </c>
      <c r="B1484" s="16">
        <v>32</v>
      </c>
      <c r="C1484" s="16" t="s">
        <v>0</v>
      </c>
      <c r="D1484" s="16" t="s">
        <v>2</v>
      </c>
      <c r="E1484" s="17">
        <v>20</v>
      </c>
      <c r="F1484" s="18">
        <f>99700+1000</f>
        <v>100700</v>
      </c>
    </row>
    <row r="1485" spans="1:15" x14ac:dyDescent="0.25">
      <c r="A1485" s="16">
        <v>402</v>
      </c>
      <c r="B1485" s="16">
        <v>35</v>
      </c>
      <c r="C1485" s="16">
        <v>20</v>
      </c>
      <c r="D1485" s="16" t="s">
        <v>10</v>
      </c>
      <c r="E1485" s="17">
        <f>0.985-0.08</f>
        <v>0.90500000000000003</v>
      </c>
      <c r="F1485" s="18">
        <f>91700+3000+1000</f>
        <v>95700</v>
      </c>
    </row>
    <row r="1486" spans="1:15" x14ac:dyDescent="0.25">
      <c r="A1486" s="16">
        <v>402</v>
      </c>
      <c r="B1486" s="16">
        <v>36</v>
      </c>
      <c r="C1486" s="16">
        <v>20</v>
      </c>
      <c r="D1486" s="16" t="s">
        <v>2</v>
      </c>
      <c r="E1486" s="17">
        <v>5</v>
      </c>
      <c r="F1486" s="18">
        <f>91700+3000+1000</f>
        <v>95700</v>
      </c>
    </row>
    <row r="1487" spans="1:15" x14ac:dyDescent="0.25">
      <c r="A1487" s="16">
        <v>402</v>
      </c>
      <c r="B1487" s="16">
        <v>36</v>
      </c>
      <c r="C1487" s="16" t="s">
        <v>0</v>
      </c>
      <c r="D1487" s="16" t="s">
        <v>2</v>
      </c>
      <c r="E1487" s="17">
        <v>5</v>
      </c>
      <c r="F1487" s="18">
        <f>96700+3000+1000</f>
        <v>100700</v>
      </c>
    </row>
    <row r="1488" spans="1:15" x14ac:dyDescent="0.25">
      <c r="A1488" s="16">
        <v>402</v>
      </c>
      <c r="B1488" s="16">
        <v>40</v>
      </c>
      <c r="C1488" s="16">
        <v>10</v>
      </c>
      <c r="D1488" s="16" t="s">
        <v>2</v>
      </c>
      <c r="E1488" s="17">
        <f>17.888-3.054-2.94</f>
        <v>11.894000000000002</v>
      </c>
      <c r="F1488" s="18">
        <f>91700+3000+1000</f>
        <v>95700</v>
      </c>
    </row>
    <row r="1489" spans="1:6" x14ac:dyDescent="0.25">
      <c r="A1489" s="16">
        <v>402</v>
      </c>
      <c r="B1489" s="20">
        <v>40</v>
      </c>
      <c r="C1489" s="16">
        <v>20</v>
      </c>
      <c r="D1489" s="16" t="s">
        <v>2</v>
      </c>
      <c r="E1489" s="17">
        <v>0.82899999999999996</v>
      </c>
      <c r="F1489" s="18">
        <f>91700+3000+1000</f>
        <v>95700</v>
      </c>
    </row>
    <row r="1490" spans="1:6" x14ac:dyDescent="0.25">
      <c r="A1490" s="16">
        <v>402</v>
      </c>
      <c r="B1490" s="20">
        <v>40</v>
      </c>
      <c r="C1490" s="16">
        <v>20</v>
      </c>
      <c r="D1490" s="16" t="s">
        <v>2</v>
      </c>
      <c r="E1490" s="17">
        <v>0.56799999999999995</v>
      </c>
      <c r="F1490" s="18">
        <f>91700+3000+1000</f>
        <v>95700</v>
      </c>
    </row>
    <row r="1491" spans="1:6" x14ac:dyDescent="0.25">
      <c r="A1491" s="16">
        <v>402</v>
      </c>
      <c r="B1491" s="20">
        <v>40</v>
      </c>
      <c r="C1491" s="16">
        <v>20</v>
      </c>
      <c r="D1491" s="16" t="s">
        <v>2</v>
      </c>
      <c r="E1491" s="17">
        <f>1.343-0.543</f>
        <v>0.79999999999999993</v>
      </c>
      <c r="F1491" s="18">
        <f>91700+3000+1000</f>
        <v>95700</v>
      </c>
    </row>
    <row r="1492" spans="1:6" x14ac:dyDescent="0.25">
      <c r="A1492" s="16">
        <v>402</v>
      </c>
      <c r="B1492" s="16">
        <v>40</v>
      </c>
      <c r="C1492" s="16" t="s">
        <v>0</v>
      </c>
      <c r="D1492" s="16" t="s">
        <v>2</v>
      </c>
      <c r="E1492" s="17">
        <v>5</v>
      </c>
      <c r="F1492" s="18">
        <f>96700+3000+1000</f>
        <v>100700</v>
      </c>
    </row>
    <row r="1493" spans="1:6" x14ac:dyDescent="0.25">
      <c r="A1493" s="16">
        <v>402</v>
      </c>
      <c r="B1493" s="16">
        <v>45</v>
      </c>
      <c r="C1493" s="16">
        <v>20</v>
      </c>
      <c r="D1493" s="16" t="s">
        <v>2</v>
      </c>
      <c r="E1493" s="17">
        <v>3.028</v>
      </c>
      <c r="F1493" s="18">
        <f>91700+3000+1000</f>
        <v>95700</v>
      </c>
    </row>
    <row r="1494" spans="1:6" x14ac:dyDescent="0.25">
      <c r="A1494" s="16">
        <v>402</v>
      </c>
      <c r="B1494" s="16">
        <v>50</v>
      </c>
      <c r="C1494" s="16">
        <v>20</v>
      </c>
      <c r="D1494" s="16" t="s">
        <v>2</v>
      </c>
      <c r="E1494" s="17">
        <v>8</v>
      </c>
      <c r="F1494" s="18">
        <f>94700+1000</f>
        <v>95700</v>
      </c>
    </row>
    <row r="1495" spans="1:6" x14ac:dyDescent="0.25">
      <c r="A1495" s="16">
        <v>402</v>
      </c>
      <c r="B1495" s="16">
        <v>50</v>
      </c>
      <c r="C1495" s="16" t="s">
        <v>29</v>
      </c>
      <c r="D1495" s="16" t="s">
        <v>14</v>
      </c>
      <c r="E1495" s="17">
        <f>2.053-0.543+0.001</f>
        <v>1.5109999999999997</v>
      </c>
      <c r="F1495" s="18">
        <v>220000</v>
      </c>
    </row>
    <row r="1496" spans="1:6" x14ac:dyDescent="0.25">
      <c r="A1496" s="16">
        <v>406</v>
      </c>
      <c r="B1496" s="16">
        <v>10</v>
      </c>
      <c r="C1496" s="16">
        <v>10</v>
      </c>
      <c r="D1496" s="16" t="s">
        <v>2</v>
      </c>
      <c r="E1496" s="17">
        <f>0.923-0.59</f>
        <v>0.33300000000000007</v>
      </c>
      <c r="F1496" s="18">
        <v>78700</v>
      </c>
    </row>
    <row r="1497" spans="1:6" x14ac:dyDescent="0.25">
      <c r="A1497" s="16">
        <v>406</v>
      </c>
      <c r="B1497" s="16">
        <v>16</v>
      </c>
      <c r="C1497" s="16" t="s">
        <v>0</v>
      </c>
      <c r="D1497" s="16" t="s">
        <v>2</v>
      </c>
      <c r="E1497" s="17">
        <v>4.2290000000000001</v>
      </c>
      <c r="F1497" s="18">
        <f>80700+1000</f>
        <v>81700</v>
      </c>
    </row>
    <row r="1498" spans="1:6" x14ac:dyDescent="0.25">
      <c r="A1498" s="16">
        <v>406</v>
      </c>
      <c r="B1498" s="16">
        <v>16</v>
      </c>
      <c r="C1498" s="16" t="s">
        <v>0</v>
      </c>
      <c r="D1498" s="16" t="s">
        <v>2</v>
      </c>
      <c r="E1498" s="17">
        <v>1.363</v>
      </c>
      <c r="F1498" s="18">
        <f>80700+1000</f>
        <v>81700</v>
      </c>
    </row>
    <row r="1499" spans="1:6" x14ac:dyDescent="0.25">
      <c r="A1499" s="16">
        <v>406</v>
      </c>
      <c r="B1499" s="16">
        <v>22</v>
      </c>
      <c r="C1499" s="16" t="s">
        <v>0</v>
      </c>
      <c r="D1499" s="16" t="s">
        <v>2</v>
      </c>
      <c r="E1499" s="17">
        <f>21.325-20.325-0.125</f>
        <v>0.875</v>
      </c>
      <c r="F1499" s="18">
        <f>77700+3000+1000</f>
        <v>81700</v>
      </c>
    </row>
    <row r="1500" spans="1:6" x14ac:dyDescent="0.25">
      <c r="A1500" s="16">
        <v>406</v>
      </c>
      <c r="B1500" s="16">
        <v>22</v>
      </c>
      <c r="C1500" s="16" t="s">
        <v>30</v>
      </c>
      <c r="D1500" s="16" t="s">
        <v>2</v>
      </c>
      <c r="E1500" s="17">
        <v>3.012</v>
      </c>
      <c r="F1500" s="18">
        <f>89700+1000</f>
        <v>90700</v>
      </c>
    </row>
    <row r="1501" spans="1:6" x14ac:dyDescent="0.25">
      <c r="A1501" s="16">
        <v>406</v>
      </c>
      <c r="B1501" s="16">
        <v>26</v>
      </c>
      <c r="C1501" s="16" t="s">
        <v>30</v>
      </c>
      <c r="D1501" s="16" t="s">
        <v>2</v>
      </c>
      <c r="E1501" s="17">
        <v>11.84</v>
      </c>
      <c r="F1501" s="18">
        <f>89700+1000</f>
        <v>90700</v>
      </c>
    </row>
    <row r="1502" spans="1:6" x14ac:dyDescent="0.25">
      <c r="A1502" s="16">
        <v>406</v>
      </c>
      <c r="B1502" s="16">
        <v>38</v>
      </c>
      <c r="C1502" s="16">
        <v>45</v>
      </c>
      <c r="D1502" s="16" t="s">
        <v>2</v>
      </c>
      <c r="E1502" s="17">
        <f>1.11-0.103-0.169-0.383+0.044</f>
        <v>0.49900000000000005</v>
      </c>
      <c r="F1502" s="18">
        <f>93700+3000+1000</f>
        <v>97700</v>
      </c>
    </row>
    <row r="1503" spans="1:6" x14ac:dyDescent="0.25">
      <c r="A1503" s="16">
        <v>406</v>
      </c>
      <c r="B1503" s="16">
        <v>60</v>
      </c>
      <c r="C1503" s="16" t="s">
        <v>0</v>
      </c>
      <c r="D1503" s="16" t="s">
        <v>2</v>
      </c>
      <c r="E1503" s="17">
        <f>9.189-0.277-1.275</f>
        <v>7.6370000000000005</v>
      </c>
      <c r="F1503" s="18">
        <f>96700+3000+1000</f>
        <v>100700</v>
      </c>
    </row>
    <row r="1504" spans="1:6" x14ac:dyDescent="0.25">
      <c r="A1504" s="16">
        <v>419</v>
      </c>
      <c r="B1504" s="20">
        <v>22</v>
      </c>
      <c r="C1504" s="16">
        <v>20</v>
      </c>
      <c r="D1504" s="16" t="s">
        <v>2</v>
      </c>
      <c r="E1504" s="17">
        <f>0.414-0.067</f>
        <v>0.34699999999999998</v>
      </c>
      <c r="F1504" s="18">
        <f>74700+3000+1000</f>
        <v>78700</v>
      </c>
    </row>
    <row r="1505" spans="1:6" x14ac:dyDescent="0.25">
      <c r="A1505" s="16">
        <v>419</v>
      </c>
      <c r="B1505" s="20">
        <v>24</v>
      </c>
      <c r="C1505" s="16">
        <v>20</v>
      </c>
      <c r="D1505" s="16" t="s">
        <v>2</v>
      </c>
      <c r="E1505" s="17">
        <v>0.62</v>
      </c>
      <c r="F1505" s="18">
        <f>74700+3000+1000</f>
        <v>78700</v>
      </c>
    </row>
    <row r="1506" spans="1:6" x14ac:dyDescent="0.25">
      <c r="A1506" s="16">
        <v>426</v>
      </c>
      <c r="B1506" s="16">
        <v>6</v>
      </c>
      <c r="C1506" s="16" t="s">
        <v>101</v>
      </c>
      <c r="D1506" s="16" t="s">
        <v>25</v>
      </c>
      <c r="E1506" s="17">
        <f>0.696-0.093</f>
        <v>0.60299999999999998</v>
      </c>
      <c r="F1506" s="18">
        <v>54700</v>
      </c>
    </row>
    <row r="1507" spans="1:6" x14ac:dyDescent="0.25">
      <c r="A1507" s="16">
        <v>426</v>
      </c>
      <c r="B1507" s="16">
        <v>7</v>
      </c>
      <c r="C1507" s="16" t="s">
        <v>101</v>
      </c>
      <c r="D1507" s="16" t="s">
        <v>25</v>
      </c>
      <c r="E1507" s="17">
        <v>1.726</v>
      </c>
      <c r="F1507" s="18">
        <v>54700</v>
      </c>
    </row>
    <row r="1508" spans="1:6" x14ac:dyDescent="0.25">
      <c r="A1508" s="16">
        <v>426</v>
      </c>
      <c r="B1508" s="16">
        <v>8</v>
      </c>
      <c r="C1508" s="16" t="s">
        <v>101</v>
      </c>
      <c r="D1508" s="16" t="s">
        <v>25</v>
      </c>
      <c r="E1508" s="17">
        <v>0.99099999999999999</v>
      </c>
      <c r="F1508" s="18">
        <v>54700</v>
      </c>
    </row>
    <row r="1509" spans="1:6" x14ac:dyDescent="0.25">
      <c r="A1509" s="16">
        <v>426</v>
      </c>
      <c r="B1509" s="16">
        <v>9</v>
      </c>
      <c r="C1509" s="16" t="s">
        <v>101</v>
      </c>
      <c r="D1509" s="16" t="s">
        <v>25</v>
      </c>
      <c r="E1509" s="17">
        <f>1.076-0.19</f>
        <v>0.88600000000000012</v>
      </c>
      <c r="F1509" s="18">
        <v>54700</v>
      </c>
    </row>
    <row r="1510" spans="1:6" x14ac:dyDescent="0.25">
      <c r="A1510" s="16">
        <v>426</v>
      </c>
      <c r="B1510" s="16">
        <v>10</v>
      </c>
      <c r="C1510" s="16" t="s">
        <v>101</v>
      </c>
      <c r="D1510" s="16" t="s">
        <v>25</v>
      </c>
      <c r="E1510" s="17">
        <v>1.163</v>
      </c>
      <c r="F1510" s="18">
        <v>54700</v>
      </c>
    </row>
    <row r="1511" spans="1:6" x14ac:dyDescent="0.25">
      <c r="A1511" s="16">
        <v>426</v>
      </c>
      <c r="B1511" s="16">
        <v>10</v>
      </c>
      <c r="C1511" s="16">
        <v>20</v>
      </c>
      <c r="D1511" s="16" t="s">
        <v>2</v>
      </c>
      <c r="E1511" s="17">
        <f>2.322-0.38-0.115</f>
        <v>1.8270000000000002</v>
      </c>
      <c r="F1511" s="18">
        <f>77700+1000</f>
        <v>78700</v>
      </c>
    </row>
    <row r="1512" spans="1:6" x14ac:dyDescent="0.25">
      <c r="A1512" s="16">
        <v>426</v>
      </c>
      <c r="B1512" s="16">
        <v>10</v>
      </c>
      <c r="C1512" s="16" t="s">
        <v>0</v>
      </c>
      <c r="D1512" s="16" t="s">
        <v>2</v>
      </c>
      <c r="E1512" s="17">
        <f>0.83-0.21-0.116-0.106-0.216</f>
        <v>0.18200000000000002</v>
      </c>
      <c r="F1512" s="18">
        <f>77700+3000+1000</f>
        <v>81700</v>
      </c>
    </row>
    <row r="1513" spans="1:6" x14ac:dyDescent="0.25">
      <c r="A1513" s="16">
        <v>426</v>
      </c>
      <c r="B1513" s="16">
        <v>10</v>
      </c>
      <c r="C1513" s="16" t="s">
        <v>0</v>
      </c>
      <c r="D1513" s="16" t="s">
        <v>2</v>
      </c>
      <c r="E1513" s="17">
        <f>1.617-0.119-0.093-0.148-0.056-0.118-0.211</f>
        <v>0.87200000000000022</v>
      </c>
      <c r="F1513" s="18">
        <f>77700+3000+1000</f>
        <v>81700</v>
      </c>
    </row>
    <row r="1514" spans="1:6" x14ac:dyDescent="0.25">
      <c r="A1514" s="16">
        <v>426</v>
      </c>
      <c r="B1514" s="16">
        <v>10</v>
      </c>
      <c r="C1514" s="16" t="s">
        <v>30</v>
      </c>
      <c r="D1514" s="16" t="s">
        <v>2</v>
      </c>
      <c r="E1514" s="17">
        <f>1.308-0.038-0.68</f>
        <v>0.59</v>
      </c>
      <c r="F1514" s="18">
        <f>89700+1000</f>
        <v>90700</v>
      </c>
    </row>
    <row r="1515" spans="1:6" x14ac:dyDescent="0.25">
      <c r="A1515" s="16">
        <v>426</v>
      </c>
      <c r="B1515" s="16">
        <v>11</v>
      </c>
      <c r="C1515" s="16">
        <v>20</v>
      </c>
      <c r="D1515" s="16" t="s">
        <v>2</v>
      </c>
      <c r="E1515" s="17">
        <f>5.264-0.242-1.556-0.174-0.017-0.41-0.061</f>
        <v>2.8040000000000003</v>
      </c>
      <c r="F1515" s="18">
        <f>74700+3000+1000</f>
        <v>78700</v>
      </c>
    </row>
    <row r="1516" spans="1:6" x14ac:dyDescent="0.25">
      <c r="A1516" s="16">
        <v>426</v>
      </c>
      <c r="B1516" s="16">
        <v>12</v>
      </c>
      <c r="C1516" s="16">
        <v>20</v>
      </c>
      <c r="D1516" s="16" t="s">
        <v>2</v>
      </c>
      <c r="E1516" s="17">
        <v>4.9000000000000002E-2</v>
      </c>
      <c r="F1516" s="18">
        <f>74700+3000+1000</f>
        <v>78700</v>
      </c>
    </row>
    <row r="1517" spans="1:6" x14ac:dyDescent="0.25">
      <c r="A1517" s="16">
        <v>426</v>
      </c>
      <c r="B1517" s="16">
        <v>12</v>
      </c>
      <c r="C1517" s="16">
        <v>20</v>
      </c>
      <c r="D1517" s="16" t="s">
        <v>2</v>
      </c>
      <c r="E1517" s="17">
        <f>4.469-2.759-0.227</f>
        <v>1.4830000000000003</v>
      </c>
      <c r="F1517" s="18">
        <f>74700+3000+1000</f>
        <v>78700</v>
      </c>
    </row>
    <row r="1518" spans="1:6" x14ac:dyDescent="0.25">
      <c r="A1518" s="16">
        <v>426</v>
      </c>
      <c r="B1518" s="16">
        <v>12</v>
      </c>
      <c r="C1518" s="16">
        <v>20</v>
      </c>
      <c r="D1518" s="16" t="s">
        <v>2</v>
      </c>
      <c r="E1518" s="17">
        <v>2.944</v>
      </c>
      <c r="F1518" s="18">
        <f>77700+1000</f>
        <v>78700</v>
      </c>
    </row>
    <row r="1519" spans="1:6" x14ac:dyDescent="0.25">
      <c r="A1519" s="16">
        <v>426</v>
      </c>
      <c r="B1519" s="16">
        <v>12</v>
      </c>
      <c r="C1519" s="16">
        <v>20</v>
      </c>
      <c r="D1519" s="16" t="s">
        <v>4</v>
      </c>
      <c r="E1519" s="17">
        <v>0.64500000000000002</v>
      </c>
      <c r="F1519" s="18">
        <f>135700+1000</f>
        <v>136700</v>
      </c>
    </row>
    <row r="1520" spans="1:6" x14ac:dyDescent="0.25">
      <c r="A1520" s="16">
        <v>426</v>
      </c>
      <c r="B1520" s="16">
        <v>12</v>
      </c>
      <c r="C1520" s="16" t="s">
        <v>30</v>
      </c>
      <c r="D1520" s="16" t="s">
        <v>2</v>
      </c>
      <c r="E1520" s="17">
        <f>4.717-0.07</f>
        <v>4.6469999999999994</v>
      </c>
      <c r="F1520" s="18">
        <f>89700+1000</f>
        <v>90700</v>
      </c>
    </row>
    <row r="1521" spans="1:6" x14ac:dyDescent="0.25">
      <c r="A1521" s="16">
        <v>426</v>
      </c>
      <c r="B1521" s="16">
        <v>13</v>
      </c>
      <c r="C1521" s="16">
        <v>20</v>
      </c>
      <c r="D1521" s="16" t="s">
        <v>4</v>
      </c>
      <c r="E1521" s="17">
        <v>0.85</v>
      </c>
      <c r="F1521" s="18">
        <v>135700</v>
      </c>
    </row>
    <row r="1522" spans="1:6" x14ac:dyDescent="0.25">
      <c r="A1522" s="16">
        <v>426</v>
      </c>
      <c r="B1522" s="16">
        <v>14</v>
      </c>
      <c r="C1522" s="16">
        <v>20</v>
      </c>
      <c r="D1522" s="16" t="s">
        <v>4</v>
      </c>
      <c r="E1522" s="17">
        <v>8.5920000000000005</v>
      </c>
      <c r="F1522" s="18">
        <v>135700</v>
      </c>
    </row>
    <row r="1523" spans="1:6" x14ac:dyDescent="0.25">
      <c r="A1523" s="16">
        <v>426</v>
      </c>
      <c r="B1523" s="16">
        <v>14</v>
      </c>
      <c r="C1523" s="16">
        <v>20</v>
      </c>
      <c r="D1523" s="16" t="s">
        <v>2</v>
      </c>
      <c r="E1523" s="17">
        <v>1.4039999999999999</v>
      </c>
      <c r="F1523" s="18">
        <v>78700</v>
      </c>
    </row>
    <row r="1524" spans="1:6" x14ac:dyDescent="0.25">
      <c r="A1524" s="16">
        <v>426</v>
      </c>
      <c r="B1524" s="16">
        <v>14</v>
      </c>
      <c r="C1524" s="16" t="s">
        <v>0</v>
      </c>
      <c r="D1524" s="16" t="s">
        <v>2</v>
      </c>
      <c r="E1524" s="17">
        <f>10.01-0.087-6.713-0.042</f>
        <v>3.1680000000000001</v>
      </c>
      <c r="F1524" s="18">
        <f>77700+3000+1000</f>
        <v>81700</v>
      </c>
    </row>
    <row r="1525" spans="1:6" x14ac:dyDescent="0.25">
      <c r="A1525" s="16">
        <v>426</v>
      </c>
      <c r="B1525" s="16">
        <v>14</v>
      </c>
      <c r="C1525" s="16" t="s">
        <v>0</v>
      </c>
      <c r="D1525" s="16" t="s">
        <v>2</v>
      </c>
      <c r="E1525" s="17">
        <f>20.269-10.897-0.878-1.062</f>
        <v>7.4319999999999977</v>
      </c>
      <c r="F1525" s="18">
        <f>77700+3000+1000</f>
        <v>81700</v>
      </c>
    </row>
    <row r="1526" spans="1:6" x14ac:dyDescent="0.25">
      <c r="A1526" s="16">
        <v>426</v>
      </c>
      <c r="B1526" s="16">
        <v>14</v>
      </c>
      <c r="C1526" s="16" t="s">
        <v>30</v>
      </c>
      <c r="D1526" s="16" t="s">
        <v>2</v>
      </c>
      <c r="E1526" s="17">
        <f>2.233-1.157</f>
        <v>1.0760000000000001</v>
      </c>
      <c r="F1526" s="18">
        <f>89700+1000</f>
        <v>90700</v>
      </c>
    </row>
    <row r="1527" spans="1:6" x14ac:dyDescent="0.25">
      <c r="A1527" s="16">
        <v>426</v>
      </c>
      <c r="B1527" s="16">
        <v>16</v>
      </c>
      <c r="C1527" s="16">
        <v>20</v>
      </c>
      <c r="D1527" s="16" t="s">
        <v>2</v>
      </c>
      <c r="E1527" s="17">
        <v>2.4769999999999999</v>
      </c>
      <c r="F1527" s="18">
        <v>78700</v>
      </c>
    </row>
    <row r="1528" spans="1:6" x14ac:dyDescent="0.25">
      <c r="A1528" s="16">
        <v>426</v>
      </c>
      <c r="B1528" s="16">
        <v>17</v>
      </c>
      <c r="C1528" s="16">
        <v>20</v>
      </c>
      <c r="D1528" s="16" t="s">
        <v>2</v>
      </c>
      <c r="E1528" s="17">
        <v>1.2070000000000001</v>
      </c>
      <c r="F1528" s="18">
        <v>78700</v>
      </c>
    </row>
    <row r="1529" spans="1:6" x14ac:dyDescent="0.25">
      <c r="A1529" s="16">
        <v>426</v>
      </c>
      <c r="B1529" s="16">
        <v>18</v>
      </c>
      <c r="C1529" s="16" t="s">
        <v>0</v>
      </c>
      <c r="D1529" s="16" t="s">
        <v>2</v>
      </c>
      <c r="E1529" s="17">
        <f>6.064-0.2</f>
        <v>5.8639999999999999</v>
      </c>
      <c r="F1529" s="18">
        <f>77700+3000+1000</f>
        <v>81700</v>
      </c>
    </row>
    <row r="1530" spans="1:6" x14ac:dyDescent="0.25">
      <c r="A1530" s="16">
        <v>426</v>
      </c>
      <c r="B1530" s="16">
        <v>20</v>
      </c>
      <c r="C1530" s="16">
        <v>20</v>
      </c>
      <c r="D1530" s="16" t="s">
        <v>2</v>
      </c>
      <c r="E1530" s="17">
        <f>1.033-0.301</f>
        <v>0.73199999999999998</v>
      </c>
      <c r="F1530" s="18">
        <f>77700+1000</f>
        <v>78700</v>
      </c>
    </row>
    <row r="1531" spans="1:6" x14ac:dyDescent="0.25">
      <c r="A1531" s="16">
        <v>426</v>
      </c>
      <c r="B1531" s="16">
        <v>20</v>
      </c>
      <c r="C1531" s="16">
        <v>20</v>
      </c>
      <c r="D1531" s="16" t="s">
        <v>2</v>
      </c>
      <c r="E1531" s="17">
        <v>1.157</v>
      </c>
      <c r="F1531" s="18">
        <f>77700+1000</f>
        <v>78700</v>
      </c>
    </row>
    <row r="1532" spans="1:6" x14ac:dyDescent="0.25">
      <c r="A1532" s="16">
        <v>426</v>
      </c>
      <c r="B1532" s="16">
        <v>20</v>
      </c>
      <c r="C1532" s="16">
        <v>20</v>
      </c>
      <c r="D1532" s="16" t="s">
        <v>2</v>
      </c>
      <c r="E1532" s="17">
        <v>1.7669999999999999</v>
      </c>
      <c r="F1532" s="18">
        <v>78700</v>
      </c>
    </row>
    <row r="1533" spans="1:6" x14ac:dyDescent="0.25">
      <c r="A1533" s="16">
        <v>426</v>
      </c>
      <c r="B1533" s="16">
        <v>20</v>
      </c>
      <c r="C1533" s="16">
        <v>20</v>
      </c>
      <c r="D1533" s="16" t="s">
        <v>2</v>
      </c>
      <c r="E1533" s="17">
        <v>1.3580000000000001</v>
      </c>
      <c r="F1533" s="18">
        <f>77700+1000</f>
        <v>78700</v>
      </c>
    </row>
    <row r="1534" spans="1:6" x14ac:dyDescent="0.25">
      <c r="A1534" s="16">
        <v>426</v>
      </c>
      <c r="B1534" s="16">
        <v>20</v>
      </c>
      <c r="C1534" s="16" t="s">
        <v>0</v>
      </c>
      <c r="D1534" s="16" t="s">
        <v>2</v>
      </c>
      <c r="E1534" s="17">
        <f>6.595-0.235</f>
        <v>6.3599999999999994</v>
      </c>
      <c r="F1534" s="18">
        <f>77700+3000+1000</f>
        <v>81700</v>
      </c>
    </row>
    <row r="1535" spans="1:6" x14ac:dyDescent="0.25">
      <c r="A1535" s="16">
        <v>426</v>
      </c>
      <c r="B1535" s="16">
        <v>22</v>
      </c>
      <c r="C1535" s="16" t="s">
        <v>0</v>
      </c>
      <c r="D1535" s="16" t="s">
        <v>2</v>
      </c>
      <c r="E1535" s="17">
        <f>6.142-4.053</f>
        <v>2.0890000000000004</v>
      </c>
      <c r="F1535" s="18">
        <f>77700+3000+1000</f>
        <v>81700</v>
      </c>
    </row>
    <row r="1536" spans="1:6" x14ac:dyDescent="0.25">
      <c r="A1536" s="16">
        <v>426</v>
      </c>
      <c r="B1536" s="16">
        <v>22</v>
      </c>
      <c r="C1536" s="16" t="s">
        <v>0</v>
      </c>
      <c r="D1536" s="16" t="s">
        <v>13</v>
      </c>
      <c r="E1536" s="17">
        <v>3.536</v>
      </c>
      <c r="F1536" s="18">
        <f>87700+1000</f>
        <v>88700</v>
      </c>
    </row>
    <row r="1537" spans="1:6" x14ac:dyDescent="0.25">
      <c r="A1537" s="16">
        <v>426</v>
      </c>
      <c r="B1537" s="16">
        <v>22</v>
      </c>
      <c r="C1537" s="16">
        <v>20</v>
      </c>
      <c r="D1537" s="16" t="s">
        <v>2</v>
      </c>
      <c r="E1537" s="17">
        <v>0.3</v>
      </c>
      <c r="F1537" s="18">
        <f>74700+3000+1000</f>
        <v>78700</v>
      </c>
    </row>
    <row r="1538" spans="1:6" x14ac:dyDescent="0.25">
      <c r="A1538" s="16">
        <v>426</v>
      </c>
      <c r="B1538" s="16">
        <v>22</v>
      </c>
      <c r="C1538" s="16">
        <v>20</v>
      </c>
      <c r="D1538" s="16" t="s">
        <v>2</v>
      </c>
      <c r="E1538" s="17">
        <v>1.5289999999999999</v>
      </c>
      <c r="F1538" s="18">
        <f>77700+1000</f>
        <v>78700</v>
      </c>
    </row>
    <row r="1539" spans="1:6" x14ac:dyDescent="0.25">
      <c r="A1539" s="16">
        <v>426</v>
      </c>
      <c r="B1539" s="16">
        <v>22</v>
      </c>
      <c r="C1539" s="16">
        <v>20</v>
      </c>
      <c r="D1539" s="16" t="s">
        <v>4</v>
      </c>
      <c r="E1539" s="17">
        <v>1.49</v>
      </c>
      <c r="F1539" s="18">
        <v>135700</v>
      </c>
    </row>
    <row r="1540" spans="1:6" x14ac:dyDescent="0.25">
      <c r="A1540" s="16">
        <v>426</v>
      </c>
      <c r="B1540" s="16">
        <v>22</v>
      </c>
      <c r="C1540" s="16">
        <v>20</v>
      </c>
      <c r="D1540" s="16" t="s">
        <v>4</v>
      </c>
      <c r="E1540" s="17">
        <v>1.41</v>
      </c>
      <c r="F1540" s="18">
        <v>135700</v>
      </c>
    </row>
    <row r="1541" spans="1:6" x14ac:dyDescent="0.25">
      <c r="A1541" s="16">
        <v>426</v>
      </c>
      <c r="B1541" s="16">
        <v>22</v>
      </c>
      <c r="C1541" s="16" t="s">
        <v>30</v>
      </c>
      <c r="D1541" s="16" t="s">
        <v>2</v>
      </c>
      <c r="E1541" s="17">
        <f>8.495-0.275-0.454-0.229</f>
        <v>7.536999999999999</v>
      </c>
      <c r="F1541" s="18">
        <f>89700+1000</f>
        <v>90700</v>
      </c>
    </row>
    <row r="1542" spans="1:6" x14ac:dyDescent="0.25">
      <c r="A1542" s="16">
        <v>426</v>
      </c>
      <c r="B1542" s="16">
        <v>24</v>
      </c>
      <c r="C1542" s="16">
        <v>20</v>
      </c>
      <c r="D1542" s="16" t="s">
        <v>2</v>
      </c>
      <c r="E1542" s="17">
        <v>2.351</v>
      </c>
      <c r="F1542" s="18">
        <f>74700+3000+1000</f>
        <v>78700</v>
      </c>
    </row>
    <row r="1543" spans="1:6" x14ac:dyDescent="0.25">
      <c r="A1543" s="16">
        <v>426</v>
      </c>
      <c r="B1543" s="16">
        <v>24</v>
      </c>
      <c r="C1543" s="16">
        <v>20</v>
      </c>
      <c r="D1543" s="16" t="s">
        <v>2</v>
      </c>
      <c r="E1543" s="17">
        <v>1.595</v>
      </c>
      <c r="F1543" s="18">
        <f>74700+3000+1000</f>
        <v>78700</v>
      </c>
    </row>
    <row r="1544" spans="1:6" x14ac:dyDescent="0.25">
      <c r="A1544" s="16">
        <v>426</v>
      </c>
      <c r="B1544" s="16">
        <v>24</v>
      </c>
      <c r="C1544" s="16">
        <v>20</v>
      </c>
      <c r="D1544" s="16" t="s">
        <v>4</v>
      </c>
      <c r="E1544" s="17">
        <v>10.47</v>
      </c>
      <c r="F1544" s="18">
        <v>132000</v>
      </c>
    </row>
    <row r="1545" spans="1:6" x14ac:dyDescent="0.25">
      <c r="A1545" s="16">
        <v>426</v>
      </c>
      <c r="B1545" s="16">
        <v>25</v>
      </c>
      <c r="C1545" s="16">
        <v>20</v>
      </c>
      <c r="D1545" s="16" t="s">
        <v>2</v>
      </c>
      <c r="E1545" s="17">
        <f>12.959-1.241</f>
        <v>11.718</v>
      </c>
      <c r="F1545" s="18">
        <f t="shared" ref="F1545:F1549" si="4">74700+3000+1000</f>
        <v>78700</v>
      </c>
    </row>
    <row r="1546" spans="1:6" x14ac:dyDescent="0.25">
      <c r="A1546" s="16">
        <v>426</v>
      </c>
      <c r="B1546" s="16">
        <v>25</v>
      </c>
      <c r="C1546" s="16">
        <v>20</v>
      </c>
      <c r="D1546" s="16" t="s">
        <v>2</v>
      </c>
      <c r="E1546" s="17">
        <f>14.996+16.569-1.85-1.435</f>
        <v>28.279999999999998</v>
      </c>
      <c r="F1546" s="18">
        <f t="shared" si="4"/>
        <v>78700</v>
      </c>
    </row>
    <row r="1547" spans="1:6" x14ac:dyDescent="0.25">
      <c r="A1547" s="16">
        <v>426</v>
      </c>
      <c r="B1547" s="16">
        <v>25</v>
      </c>
      <c r="C1547" s="16">
        <v>20</v>
      </c>
      <c r="D1547" s="16" t="s">
        <v>2</v>
      </c>
      <c r="E1547" s="17">
        <f>37.278-14.996-16.569-1.523-1.714-1.976</f>
        <v>0.49999999999999778</v>
      </c>
      <c r="F1547" s="18">
        <f t="shared" si="4"/>
        <v>78700</v>
      </c>
    </row>
    <row r="1548" spans="1:6" x14ac:dyDescent="0.25">
      <c r="A1548" s="16">
        <v>426</v>
      </c>
      <c r="B1548" s="16">
        <v>25</v>
      </c>
      <c r="C1548" s="16">
        <v>20</v>
      </c>
      <c r="D1548" s="16" t="s">
        <v>2</v>
      </c>
      <c r="E1548" s="17">
        <f>1.034-0.245-0.186</f>
        <v>0.60299999999999998</v>
      </c>
      <c r="F1548" s="18">
        <f t="shared" si="4"/>
        <v>78700</v>
      </c>
    </row>
    <row r="1549" spans="1:6" x14ac:dyDescent="0.25">
      <c r="A1549" s="16">
        <v>426</v>
      </c>
      <c r="B1549" s="16">
        <v>25</v>
      </c>
      <c r="C1549" s="16">
        <v>20</v>
      </c>
      <c r="D1549" s="16" t="s">
        <v>2</v>
      </c>
      <c r="E1549" s="17">
        <f>4.871+1.523</f>
        <v>6.3940000000000001</v>
      </c>
      <c r="F1549" s="18">
        <f t="shared" si="4"/>
        <v>78700</v>
      </c>
    </row>
    <row r="1550" spans="1:6" x14ac:dyDescent="0.25">
      <c r="A1550" s="16">
        <v>426</v>
      </c>
      <c r="B1550" s="16">
        <v>25</v>
      </c>
      <c r="C1550" s="16" t="s">
        <v>0</v>
      </c>
      <c r="D1550" s="16" t="s">
        <v>2</v>
      </c>
      <c r="E1550" s="17">
        <v>4.032</v>
      </c>
      <c r="F1550" s="18">
        <f>77700+3000+1000</f>
        <v>81700</v>
      </c>
    </row>
    <row r="1551" spans="1:6" x14ac:dyDescent="0.25">
      <c r="A1551" s="16">
        <v>426</v>
      </c>
      <c r="B1551" s="16">
        <v>25</v>
      </c>
      <c r="C1551" s="16" t="s">
        <v>0</v>
      </c>
      <c r="D1551" s="16" t="s">
        <v>2</v>
      </c>
      <c r="E1551" s="17">
        <v>5.7220000000000004</v>
      </c>
      <c r="F1551" s="18">
        <f>77700+3000+1000</f>
        <v>81700</v>
      </c>
    </row>
    <row r="1552" spans="1:6" x14ac:dyDescent="0.25">
      <c r="A1552" s="16">
        <v>426</v>
      </c>
      <c r="B1552" s="16">
        <v>25</v>
      </c>
      <c r="C1552" s="16" t="s">
        <v>30</v>
      </c>
      <c r="D1552" s="16" t="s">
        <v>2</v>
      </c>
      <c r="E1552" s="17">
        <v>4.3959999999999999</v>
      </c>
      <c r="F1552" s="18">
        <f>89700+1000</f>
        <v>90700</v>
      </c>
    </row>
    <row r="1553" spans="1:6" x14ac:dyDescent="0.25">
      <c r="A1553" s="16">
        <v>426</v>
      </c>
      <c r="B1553" s="16">
        <v>28</v>
      </c>
      <c r="C1553" s="16" t="s">
        <v>30</v>
      </c>
      <c r="D1553" s="16" t="s">
        <v>2</v>
      </c>
      <c r="E1553" s="17">
        <f>4.276-0.562-1.078-1.779+0.019</f>
        <v>0.87599999999999933</v>
      </c>
      <c r="F1553" s="18">
        <f>89700+1000</f>
        <v>90700</v>
      </c>
    </row>
    <row r="1554" spans="1:6" x14ac:dyDescent="0.25">
      <c r="A1554" s="16">
        <v>426</v>
      </c>
      <c r="B1554" s="16">
        <v>28</v>
      </c>
      <c r="C1554" s="16" t="s">
        <v>30</v>
      </c>
      <c r="D1554" s="16" t="s">
        <v>2</v>
      </c>
      <c r="E1554" s="17">
        <v>5</v>
      </c>
      <c r="F1554" s="18">
        <v>90700</v>
      </c>
    </row>
    <row r="1555" spans="1:6" x14ac:dyDescent="0.25">
      <c r="A1555" s="16">
        <v>426</v>
      </c>
      <c r="B1555" s="16">
        <v>30</v>
      </c>
      <c r="C1555" s="16">
        <v>20</v>
      </c>
      <c r="D1555" s="16" t="s">
        <v>2</v>
      </c>
      <c r="E1555" s="17">
        <f>11.066+19.749-0.745-1.184-5.653-0.507-0.361-2.91-0.545-0.159</f>
        <v>18.750999999999994</v>
      </c>
      <c r="F1555" s="18">
        <f>74700+3000+1000</f>
        <v>78700</v>
      </c>
    </row>
    <row r="1556" spans="1:6" x14ac:dyDescent="0.25">
      <c r="A1556" s="16">
        <v>426</v>
      </c>
      <c r="B1556" s="16">
        <v>30</v>
      </c>
      <c r="C1556" s="16">
        <v>20</v>
      </c>
      <c r="D1556" s="16" t="s">
        <v>2</v>
      </c>
      <c r="E1556" s="17">
        <v>11.148999999999999</v>
      </c>
      <c r="F1556" s="18">
        <f>74700+3000+1000</f>
        <v>78700</v>
      </c>
    </row>
    <row r="1557" spans="1:6" x14ac:dyDescent="0.25">
      <c r="A1557" s="16">
        <v>426</v>
      </c>
      <c r="B1557" s="16">
        <v>32</v>
      </c>
      <c r="C1557" s="16" t="s">
        <v>5</v>
      </c>
      <c r="D1557" s="16" t="s">
        <v>2</v>
      </c>
      <c r="E1557" s="17">
        <v>2.56</v>
      </c>
      <c r="F1557" s="18">
        <v>200000</v>
      </c>
    </row>
    <row r="1558" spans="1:6" x14ac:dyDescent="0.25">
      <c r="A1558" s="16">
        <v>426</v>
      </c>
      <c r="B1558" s="16">
        <v>36</v>
      </c>
      <c r="C1558" s="16">
        <v>20</v>
      </c>
      <c r="D1558" s="16" t="s">
        <v>2</v>
      </c>
      <c r="E1558" s="17">
        <f>9.612-2.377-5.082+0.002-0.09-0.732</f>
        <v>1.3330000000000004</v>
      </c>
      <c r="F1558" s="18">
        <f>91700+3000+1000</f>
        <v>95700</v>
      </c>
    </row>
    <row r="1559" spans="1:6" x14ac:dyDescent="0.25">
      <c r="A1559" s="16">
        <v>426</v>
      </c>
      <c r="B1559" s="16">
        <v>36</v>
      </c>
      <c r="C1559" s="16">
        <v>20</v>
      </c>
      <c r="D1559" s="16" t="s">
        <v>2</v>
      </c>
      <c r="E1559" s="17">
        <f>9.448-2.429-2.363</f>
        <v>4.6560000000000006</v>
      </c>
      <c r="F1559" s="18">
        <f>91700+3000+1000</f>
        <v>95700</v>
      </c>
    </row>
    <row r="1560" spans="1:6" x14ac:dyDescent="0.25">
      <c r="A1560" s="16">
        <v>426</v>
      </c>
      <c r="B1560" s="16">
        <v>36</v>
      </c>
      <c r="C1560" s="16" t="s">
        <v>0</v>
      </c>
      <c r="D1560" s="16" t="s">
        <v>2</v>
      </c>
      <c r="E1560" s="17">
        <f>10.036-1.902-0.364-0.714-1.969</f>
        <v>5.0870000000000006</v>
      </c>
      <c r="F1560" s="18">
        <f>96700+3000+1000</f>
        <v>100700</v>
      </c>
    </row>
    <row r="1561" spans="1:6" x14ac:dyDescent="0.25">
      <c r="A1561" s="16">
        <v>426</v>
      </c>
      <c r="B1561" s="16">
        <v>36</v>
      </c>
      <c r="C1561" s="16" t="s">
        <v>5</v>
      </c>
      <c r="D1561" s="16" t="s">
        <v>2</v>
      </c>
      <c r="E1561" s="17">
        <f>4.185-2.079+0.001</f>
        <v>2.1069999999999993</v>
      </c>
      <c r="F1561" s="18">
        <v>200000</v>
      </c>
    </row>
    <row r="1562" spans="1:6" x14ac:dyDescent="0.25">
      <c r="A1562" s="16">
        <v>426</v>
      </c>
      <c r="B1562" s="16">
        <v>36</v>
      </c>
      <c r="C1562" s="16" t="s">
        <v>5</v>
      </c>
      <c r="D1562" s="16" t="s">
        <v>2</v>
      </c>
      <c r="E1562" s="17">
        <v>4.8049999999999997</v>
      </c>
      <c r="F1562" s="18">
        <v>200000</v>
      </c>
    </row>
    <row r="1563" spans="1:6" x14ac:dyDescent="0.25">
      <c r="A1563" s="16">
        <v>426</v>
      </c>
      <c r="B1563" s="20">
        <v>38</v>
      </c>
      <c r="C1563" s="16">
        <v>20</v>
      </c>
      <c r="D1563" s="16" t="s">
        <v>2</v>
      </c>
      <c r="E1563" s="17">
        <v>0.85</v>
      </c>
      <c r="F1563" s="18">
        <f>94700+1000</f>
        <v>95700</v>
      </c>
    </row>
    <row r="1564" spans="1:6" x14ac:dyDescent="0.25">
      <c r="A1564" s="16">
        <v>426</v>
      </c>
      <c r="B1564" s="16">
        <v>40</v>
      </c>
      <c r="C1564" s="16">
        <v>20</v>
      </c>
      <c r="D1564" s="16" t="s">
        <v>85</v>
      </c>
      <c r="E1564" s="17">
        <f>8.642-0.484-3.843-0.499</f>
        <v>3.8159999999999994</v>
      </c>
      <c r="F1564" s="18">
        <f>94700+1000</f>
        <v>95700</v>
      </c>
    </row>
    <row r="1565" spans="1:6" x14ac:dyDescent="0.25">
      <c r="A1565" s="16">
        <v>426</v>
      </c>
      <c r="B1565" s="16">
        <v>40</v>
      </c>
      <c r="C1565" s="16">
        <v>20</v>
      </c>
      <c r="D1565" s="16" t="s">
        <v>85</v>
      </c>
      <c r="E1565" s="17">
        <v>1.9550000000000001</v>
      </c>
      <c r="F1565" s="18">
        <f>94700+1000</f>
        <v>95700</v>
      </c>
    </row>
    <row r="1566" spans="1:6" x14ac:dyDescent="0.25">
      <c r="A1566" s="16">
        <v>426</v>
      </c>
      <c r="B1566" s="16">
        <v>40</v>
      </c>
      <c r="C1566" s="16">
        <v>20</v>
      </c>
      <c r="D1566" s="16" t="s">
        <v>2</v>
      </c>
      <c r="E1566" s="17">
        <f>11.229-3.485-3.53-0.819</f>
        <v>3.3950000000000005</v>
      </c>
      <c r="F1566" s="18">
        <f>91700+3000+1000</f>
        <v>95700</v>
      </c>
    </row>
    <row r="1567" spans="1:6" x14ac:dyDescent="0.25">
      <c r="A1567" s="16">
        <v>426</v>
      </c>
      <c r="B1567" s="16">
        <v>45</v>
      </c>
      <c r="C1567" s="16" t="s">
        <v>5</v>
      </c>
      <c r="D1567" s="16" t="s">
        <v>2</v>
      </c>
      <c r="E1567" s="17">
        <f>20.192-0.856-0.609</f>
        <v>18.726999999999997</v>
      </c>
      <c r="F1567" s="18">
        <f>200000</f>
        <v>200000</v>
      </c>
    </row>
    <row r="1568" spans="1:6" x14ac:dyDescent="0.25">
      <c r="A1568" s="16">
        <v>426</v>
      </c>
      <c r="B1568" s="16">
        <v>45</v>
      </c>
      <c r="C1568" s="16" t="s">
        <v>0</v>
      </c>
      <c r="D1568" s="16" t="s">
        <v>2</v>
      </c>
      <c r="E1568" s="17">
        <f>18.044-0.447-9.653</f>
        <v>7.9440000000000008</v>
      </c>
      <c r="F1568" s="18">
        <f>96700+3000+1000</f>
        <v>100700</v>
      </c>
    </row>
    <row r="1569" spans="1:6" x14ac:dyDescent="0.25">
      <c r="A1569" s="16">
        <v>426</v>
      </c>
      <c r="B1569" s="16">
        <v>50</v>
      </c>
      <c r="C1569" s="16">
        <v>20</v>
      </c>
      <c r="D1569" s="16" t="s">
        <v>2</v>
      </c>
      <c r="E1569" s="17">
        <f>21.071-1.902-1.902-1.457-2.518-2.505-2.472-0.747-2.593-0.385</f>
        <v>4.59</v>
      </c>
      <c r="F1569" s="18">
        <f>91700+3000+1000</f>
        <v>95700</v>
      </c>
    </row>
    <row r="1570" spans="1:6" x14ac:dyDescent="0.25">
      <c r="A1570" s="16">
        <v>426</v>
      </c>
      <c r="B1570" s="16">
        <v>50</v>
      </c>
      <c r="C1570" s="16">
        <v>20</v>
      </c>
      <c r="D1570" s="16" t="s">
        <v>85</v>
      </c>
      <c r="E1570" s="17">
        <f>11.034-2.356</f>
        <v>8.6780000000000008</v>
      </c>
      <c r="F1570" s="18">
        <f>94700+1000</f>
        <v>95700</v>
      </c>
    </row>
    <row r="1571" spans="1:6" x14ac:dyDescent="0.25">
      <c r="A1571" s="16">
        <v>426</v>
      </c>
      <c r="B1571" s="16">
        <v>50</v>
      </c>
      <c r="C1571" s="16">
        <v>35</v>
      </c>
      <c r="D1571" s="16" t="s">
        <v>2</v>
      </c>
      <c r="E1571" s="17">
        <f>9.427-0.209</f>
        <v>9.218</v>
      </c>
      <c r="F1571" s="18">
        <f>93700+3000+1000</f>
        <v>97700</v>
      </c>
    </row>
    <row r="1572" spans="1:6" x14ac:dyDescent="0.25">
      <c r="A1572" s="16">
        <v>426</v>
      </c>
      <c r="B1572" s="16">
        <v>50</v>
      </c>
      <c r="C1572" s="16" t="s">
        <v>5</v>
      </c>
      <c r="D1572" s="16" t="s">
        <v>2</v>
      </c>
      <c r="E1572" s="17">
        <v>2.6</v>
      </c>
      <c r="F1572" s="18">
        <v>200000</v>
      </c>
    </row>
    <row r="1573" spans="1:6" x14ac:dyDescent="0.25">
      <c r="A1573" s="16">
        <v>426</v>
      </c>
      <c r="B1573" s="16">
        <v>50</v>
      </c>
      <c r="C1573" s="16" t="s">
        <v>5</v>
      </c>
      <c r="D1573" s="16" t="s">
        <v>2</v>
      </c>
      <c r="E1573" s="17">
        <v>4.6900000000000004</v>
      </c>
      <c r="F1573" s="18">
        <v>200000</v>
      </c>
    </row>
    <row r="1574" spans="1:6" x14ac:dyDescent="0.25">
      <c r="A1574" s="16">
        <v>426</v>
      </c>
      <c r="B1574" s="16">
        <v>50</v>
      </c>
      <c r="C1574" s="16" t="s">
        <v>5</v>
      </c>
      <c r="D1574" s="16" t="s">
        <v>2</v>
      </c>
      <c r="E1574" s="17">
        <v>5.2670000000000003</v>
      </c>
      <c r="F1574" s="18">
        <v>200000</v>
      </c>
    </row>
    <row r="1575" spans="1:6" x14ac:dyDescent="0.25">
      <c r="A1575" s="16">
        <v>426</v>
      </c>
      <c r="B1575" s="16">
        <v>58</v>
      </c>
      <c r="C1575" s="16">
        <v>20</v>
      </c>
      <c r="D1575" s="16" t="s">
        <v>2</v>
      </c>
      <c r="E1575" s="17">
        <v>1.357</v>
      </c>
      <c r="F1575" s="18">
        <f>91700+3000+1000</f>
        <v>95700</v>
      </c>
    </row>
    <row r="1576" spans="1:6" x14ac:dyDescent="0.25">
      <c r="A1576" s="16">
        <v>426</v>
      </c>
      <c r="B1576" s="16">
        <v>60</v>
      </c>
      <c r="C1576" s="16">
        <v>20</v>
      </c>
      <c r="D1576" s="16" t="s">
        <v>85</v>
      </c>
      <c r="E1576" s="17">
        <f>11.037-2.199-2.188</f>
        <v>6.65</v>
      </c>
      <c r="F1576" s="18">
        <f>94700+1000</f>
        <v>95700</v>
      </c>
    </row>
    <row r="1577" spans="1:6" x14ac:dyDescent="0.25">
      <c r="A1577" s="16">
        <v>426</v>
      </c>
      <c r="B1577" s="16">
        <v>70</v>
      </c>
      <c r="C1577" s="16">
        <v>20</v>
      </c>
      <c r="D1577" s="16" t="s">
        <v>2</v>
      </c>
      <c r="E1577" s="17">
        <v>5</v>
      </c>
      <c r="F1577" s="18">
        <f>91700+3000+1000</f>
        <v>95700</v>
      </c>
    </row>
    <row r="1578" spans="1:6" x14ac:dyDescent="0.25">
      <c r="A1578" s="16">
        <v>426</v>
      </c>
      <c r="B1578" s="16">
        <v>70</v>
      </c>
      <c r="C1578" s="16">
        <v>20</v>
      </c>
      <c r="D1578" s="16" t="s">
        <v>2</v>
      </c>
      <c r="E1578" s="17">
        <v>9.3689999999999998</v>
      </c>
      <c r="F1578" s="18">
        <f>94700+1000</f>
        <v>95700</v>
      </c>
    </row>
    <row r="1579" spans="1:6" x14ac:dyDescent="0.25">
      <c r="A1579" s="16">
        <v>426</v>
      </c>
      <c r="B1579" s="16">
        <v>80</v>
      </c>
      <c r="C1579" s="16">
        <v>20</v>
      </c>
      <c r="D1579" s="16" t="s">
        <v>2</v>
      </c>
      <c r="E1579" s="17">
        <v>5</v>
      </c>
      <c r="F1579" s="18">
        <f>94700+1000</f>
        <v>95700</v>
      </c>
    </row>
    <row r="1580" spans="1:6" x14ac:dyDescent="0.25">
      <c r="A1580" s="16">
        <v>440</v>
      </c>
      <c r="B1580" s="16">
        <v>58</v>
      </c>
      <c r="C1580" s="16">
        <v>20</v>
      </c>
      <c r="D1580" s="16" t="s">
        <v>2</v>
      </c>
      <c r="E1580" s="17">
        <f>1.371-0.383-0.148</f>
        <v>0.84</v>
      </c>
      <c r="F1580" s="18">
        <f>102700+1000</f>
        <v>103700</v>
      </c>
    </row>
    <row r="1581" spans="1:6" x14ac:dyDescent="0.25">
      <c r="A1581" s="16">
        <v>450</v>
      </c>
      <c r="B1581" s="16">
        <v>12</v>
      </c>
      <c r="C1581" s="16" t="s">
        <v>0</v>
      </c>
      <c r="D1581" s="16" t="s">
        <v>2</v>
      </c>
      <c r="E1581" s="17">
        <v>5</v>
      </c>
      <c r="F1581" s="18">
        <f>94700+1000</f>
        <v>95700</v>
      </c>
    </row>
    <row r="1582" spans="1:6" x14ac:dyDescent="0.25">
      <c r="A1582" s="16">
        <v>450</v>
      </c>
      <c r="B1582" s="16">
        <v>16</v>
      </c>
      <c r="C1582" s="16">
        <v>20</v>
      </c>
      <c r="D1582" s="16" t="s">
        <v>10</v>
      </c>
      <c r="E1582" s="17">
        <f>10.63-0.053-3.733-0.21-6.074-0.4</f>
        <v>0.15999999999999959</v>
      </c>
      <c r="F1582" s="18">
        <f>91700+1000</f>
        <v>92700</v>
      </c>
    </row>
    <row r="1583" spans="1:6" x14ac:dyDescent="0.25">
      <c r="A1583" s="16">
        <v>450</v>
      </c>
      <c r="B1583" s="16">
        <v>16</v>
      </c>
      <c r="C1583" s="16">
        <v>20</v>
      </c>
      <c r="D1583" s="16" t="s">
        <v>2</v>
      </c>
      <c r="E1583" s="17">
        <v>1.44</v>
      </c>
      <c r="F1583" s="18">
        <f>91700+1000</f>
        <v>92700</v>
      </c>
    </row>
    <row r="1584" spans="1:6" x14ac:dyDescent="0.25">
      <c r="A1584" s="16">
        <v>450</v>
      </c>
      <c r="B1584" s="16">
        <v>16</v>
      </c>
      <c r="C1584" s="16">
        <v>20</v>
      </c>
      <c r="D1584" s="16" t="s">
        <v>2</v>
      </c>
      <c r="E1584" s="17">
        <v>5</v>
      </c>
      <c r="F1584" s="18">
        <f>91700+1000</f>
        <v>92700</v>
      </c>
    </row>
    <row r="1585" spans="1:6" x14ac:dyDescent="0.25">
      <c r="A1585" s="16">
        <v>450</v>
      </c>
      <c r="B1585" s="16">
        <v>18</v>
      </c>
      <c r="C1585" s="16">
        <v>20</v>
      </c>
      <c r="D1585" s="16" t="s">
        <v>2</v>
      </c>
      <c r="E1585" s="17">
        <v>4.5350000000000001</v>
      </c>
      <c r="F1585" s="18">
        <f>91700+1000</f>
        <v>92700</v>
      </c>
    </row>
    <row r="1586" spans="1:6" x14ac:dyDescent="0.25">
      <c r="A1586" s="16">
        <v>450</v>
      </c>
      <c r="B1586" s="16">
        <v>22</v>
      </c>
      <c r="C1586" s="16">
        <v>45</v>
      </c>
      <c r="D1586" s="16" t="s">
        <v>2</v>
      </c>
      <c r="E1586" s="17">
        <f>3.886-0.472</f>
        <v>3.4140000000000001</v>
      </c>
      <c r="F1586" s="18">
        <f>93700+1000</f>
        <v>94700</v>
      </c>
    </row>
    <row r="1587" spans="1:6" x14ac:dyDescent="0.25">
      <c r="A1587" s="16">
        <v>450</v>
      </c>
      <c r="B1587" s="16">
        <v>22</v>
      </c>
      <c r="C1587" s="16">
        <v>45</v>
      </c>
      <c r="D1587" s="16" t="s">
        <v>2</v>
      </c>
      <c r="E1587" s="17">
        <v>5</v>
      </c>
      <c r="F1587" s="18">
        <f>93700+1000</f>
        <v>94700</v>
      </c>
    </row>
    <row r="1588" spans="1:6" x14ac:dyDescent="0.25">
      <c r="A1588" s="16">
        <v>450</v>
      </c>
      <c r="B1588" s="16">
        <v>25</v>
      </c>
      <c r="C1588" s="16">
        <v>20</v>
      </c>
      <c r="D1588" s="16" t="s">
        <v>2</v>
      </c>
      <c r="E1588" s="17">
        <f>5.638-0.137-0.069-0.551-0.349</f>
        <v>4.5319999999999991</v>
      </c>
      <c r="F1588" s="18">
        <f>91700+1000</f>
        <v>92700</v>
      </c>
    </row>
    <row r="1589" spans="1:6" x14ac:dyDescent="0.25">
      <c r="A1589" s="16">
        <v>450</v>
      </c>
      <c r="B1589" s="16">
        <v>28</v>
      </c>
      <c r="C1589" s="16" t="s">
        <v>5</v>
      </c>
      <c r="D1589" s="16" t="s">
        <v>2</v>
      </c>
      <c r="E1589" s="17">
        <v>4.968</v>
      </c>
      <c r="F1589" s="18">
        <v>200000</v>
      </c>
    </row>
    <row r="1590" spans="1:6" x14ac:dyDescent="0.25">
      <c r="A1590" s="16">
        <v>450</v>
      </c>
      <c r="B1590" s="16">
        <v>30</v>
      </c>
      <c r="C1590" s="16">
        <v>20</v>
      </c>
      <c r="D1590" s="16" t="s">
        <v>2</v>
      </c>
      <c r="E1590" s="17">
        <v>5.3170000000000002</v>
      </c>
      <c r="F1590" s="18">
        <f>112700+1000</f>
        <v>113700</v>
      </c>
    </row>
    <row r="1591" spans="1:6" x14ac:dyDescent="0.25">
      <c r="A1591" s="16">
        <v>450</v>
      </c>
      <c r="B1591" s="16">
        <v>30</v>
      </c>
      <c r="C1591" s="16" t="s">
        <v>0</v>
      </c>
      <c r="D1591" s="16" t="s">
        <v>2</v>
      </c>
      <c r="E1591" s="17">
        <v>2.7069999999999999</v>
      </c>
      <c r="F1591" s="18">
        <v>116700</v>
      </c>
    </row>
    <row r="1592" spans="1:6" x14ac:dyDescent="0.25">
      <c r="A1592" s="16">
        <v>450</v>
      </c>
      <c r="B1592" s="16">
        <v>30</v>
      </c>
      <c r="C1592" s="16" t="s">
        <v>0</v>
      </c>
      <c r="D1592" s="16" t="s">
        <v>2</v>
      </c>
      <c r="E1592" s="17">
        <v>4.9539999999999997</v>
      </c>
      <c r="F1592" s="18">
        <f>115700+1000</f>
        <v>116700</v>
      </c>
    </row>
    <row r="1593" spans="1:6" x14ac:dyDescent="0.25">
      <c r="A1593" s="16">
        <v>450</v>
      </c>
      <c r="B1593" s="16">
        <v>30</v>
      </c>
      <c r="C1593" s="16" t="s">
        <v>0</v>
      </c>
      <c r="D1593" s="16" t="s">
        <v>2</v>
      </c>
      <c r="E1593" s="17">
        <f>1.936-0.603-0.212-0.29-0.33</f>
        <v>0.50099999999999989</v>
      </c>
      <c r="F1593" s="18">
        <f>115700+1000</f>
        <v>116700</v>
      </c>
    </row>
    <row r="1594" spans="1:6" x14ac:dyDescent="0.25">
      <c r="A1594" s="16">
        <v>450</v>
      </c>
      <c r="B1594" s="20">
        <v>36</v>
      </c>
      <c r="C1594" s="16">
        <v>20</v>
      </c>
      <c r="D1594" s="16" t="s">
        <v>2</v>
      </c>
      <c r="E1594" s="17">
        <f>0.82-0.405-0.136</f>
        <v>0.27899999999999991</v>
      </c>
      <c r="F1594" s="18">
        <f>112700+1000</f>
        <v>113700</v>
      </c>
    </row>
    <row r="1595" spans="1:6" x14ac:dyDescent="0.25">
      <c r="A1595" s="16">
        <v>450</v>
      </c>
      <c r="B1595" s="16">
        <v>36</v>
      </c>
      <c r="C1595" s="16">
        <v>20</v>
      </c>
      <c r="D1595" s="16" t="s">
        <v>2</v>
      </c>
      <c r="E1595" s="17">
        <f>6.326-3.055</f>
        <v>3.2709999999999995</v>
      </c>
      <c r="F1595" s="18">
        <f>112700+1000</f>
        <v>113700</v>
      </c>
    </row>
    <row r="1596" spans="1:6" x14ac:dyDescent="0.25">
      <c r="A1596" s="16">
        <v>450</v>
      </c>
      <c r="B1596" s="16">
        <v>36</v>
      </c>
      <c r="C1596" s="16">
        <v>20</v>
      </c>
      <c r="D1596" s="16" t="s">
        <v>2</v>
      </c>
      <c r="E1596" s="17">
        <v>3.2919999999999998</v>
      </c>
      <c r="F1596" s="18">
        <f>112700+1000</f>
        <v>113700</v>
      </c>
    </row>
    <row r="1597" spans="1:6" x14ac:dyDescent="0.25">
      <c r="A1597" s="16">
        <v>450</v>
      </c>
      <c r="B1597" s="16">
        <v>36</v>
      </c>
      <c r="C1597" s="16">
        <v>20</v>
      </c>
      <c r="D1597" s="16" t="s">
        <v>2</v>
      </c>
      <c r="E1597" s="17">
        <f>9.087-0.467-6.293</f>
        <v>2.3269999999999991</v>
      </c>
      <c r="F1597" s="18">
        <f>112700+1000</f>
        <v>113700</v>
      </c>
    </row>
    <row r="1598" spans="1:6" x14ac:dyDescent="0.25">
      <c r="A1598" s="16">
        <v>450</v>
      </c>
      <c r="B1598" s="16">
        <v>36</v>
      </c>
      <c r="C1598" s="16" t="s">
        <v>0</v>
      </c>
      <c r="D1598" s="16" t="s">
        <v>10</v>
      </c>
      <c r="E1598" s="17">
        <f>3.065-0.707</f>
        <v>2.3580000000000001</v>
      </c>
      <c r="F1598" s="18">
        <f>115700+1000</f>
        <v>116700</v>
      </c>
    </row>
    <row r="1599" spans="1:6" x14ac:dyDescent="0.25">
      <c r="A1599" s="16">
        <v>450</v>
      </c>
      <c r="B1599" s="16">
        <v>36</v>
      </c>
      <c r="C1599" s="16" t="s">
        <v>0</v>
      </c>
      <c r="D1599" s="16" t="s">
        <v>10</v>
      </c>
      <c r="E1599" s="17">
        <v>8.8989999999999991</v>
      </c>
      <c r="F1599" s="18">
        <f>115700+1000</f>
        <v>116700</v>
      </c>
    </row>
    <row r="1600" spans="1:6" x14ac:dyDescent="0.25">
      <c r="A1600" s="16">
        <v>450</v>
      </c>
      <c r="B1600" s="16">
        <v>40</v>
      </c>
      <c r="C1600" s="16">
        <v>10</v>
      </c>
      <c r="D1600" s="16" t="s">
        <v>2</v>
      </c>
      <c r="E1600" s="17">
        <v>5.2110000000000003</v>
      </c>
      <c r="F1600" s="18">
        <f>112700+1000</f>
        <v>113700</v>
      </c>
    </row>
    <row r="1601" spans="1:6" x14ac:dyDescent="0.25">
      <c r="A1601" s="16">
        <v>450</v>
      </c>
      <c r="B1601" s="16">
        <v>40</v>
      </c>
      <c r="C1601" s="16">
        <v>10</v>
      </c>
      <c r="D1601" s="16" t="s">
        <v>2</v>
      </c>
      <c r="E1601" s="17">
        <v>5</v>
      </c>
      <c r="F1601" s="18">
        <f>112700+1000</f>
        <v>113700</v>
      </c>
    </row>
    <row r="1602" spans="1:6" x14ac:dyDescent="0.25">
      <c r="A1602" s="16">
        <v>450</v>
      </c>
      <c r="B1602" s="16">
        <v>50</v>
      </c>
      <c r="C1602" s="16">
        <v>20</v>
      </c>
      <c r="D1602" s="16" t="s">
        <v>2</v>
      </c>
      <c r="E1602" s="17">
        <v>5</v>
      </c>
      <c r="F1602" s="18">
        <f>112700+1000</f>
        <v>113700</v>
      </c>
    </row>
    <row r="1603" spans="1:6" x14ac:dyDescent="0.25">
      <c r="A1603" s="16">
        <v>450</v>
      </c>
      <c r="B1603" s="16">
        <v>50</v>
      </c>
      <c r="C1603" s="16" t="s">
        <v>0</v>
      </c>
      <c r="D1603" s="16" t="s">
        <v>2</v>
      </c>
      <c r="E1603" s="17">
        <v>1.8640000000000001</v>
      </c>
      <c r="F1603" s="18">
        <f>115700+1000</f>
        <v>116700</v>
      </c>
    </row>
    <row r="1604" spans="1:6" x14ac:dyDescent="0.25">
      <c r="A1604" s="16">
        <v>450</v>
      </c>
      <c r="B1604" s="16">
        <v>60</v>
      </c>
      <c r="C1604" s="16" t="s">
        <v>0</v>
      </c>
      <c r="D1604" s="16" t="s">
        <v>2</v>
      </c>
      <c r="E1604" s="17">
        <v>5</v>
      </c>
      <c r="F1604" s="18">
        <f>115700+1000</f>
        <v>116700</v>
      </c>
    </row>
    <row r="1605" spans="1:6" x14ac:dyDescent="0.25">
      <c r="A1605" s="16">
        <v>457</v>
      </c>
      <c r="B1605" s="16">
        <v>14</v>
      </c>
      <c r="C1605" s="16" t="s">
        <v>0</v>
      </c>
      <c r="D1605" s="16" t="s">
        <v>2</v>
      </c>
      <c r="E1605" s="17">
        <f>1.58-0.169</f>
        <v>1.411</v>
      </c>
      <c r="F1605" s="18">
        <f>94700+1000</f>
        <v>95700</v>
      </c>
    </row>
    <row r="1606" spans="1:6" x14ac:dyDescent="0.25">
      <c r="A1606" s="16">
        <v>457</v>
      </c>
      <c r="B1606" s="16">
        <v>16</v>
      </c>
      <c r="C1606" s="16" t="s">
        <v>0</v>
      </c>
      <c r="D1606" s="16" t="s">
        <v>2</v>
      </c>
      <c r="E1606" s="17">
        <v>6.8239999999999998</v>
      </c>
      <c r="F1606" s="18">
        <f>94700+1000</f>
        <v>95700</v>
      </c>
    </row>
    <row r="1607" spans="1:6" x14ac:dyDescent="0.25">
      <c r="A1607" s="16">
        <v>457</v>
      </c>
      <c r="B1607" s="16">
        <v>16</v>
      </c>
      <c r="C1607" s="16" t="s">
        <v>0</v>
      </c>
      <c r="D1607" s="16" t="s">
        <v>2</v>
      </c>
      <c r="E1607" s="17">
        <v>3</v>
      </c>
      <c r="F1607" s="18">
        <f>94700+1000</f>
        <v>95700</v>
      </c>
    </row>
    <row r="1608" spans="1:6" x14ac:dyDescent="0.25">
      <c r="A1608" s="16">
        <v>457</v>
      </c>
      <c r="B1608" s="20">
        <v>24</v>
      </c>
      <c r="C1608" s="16" t="s">
        <v>7</v>
      </c>
      <c r="D1608" s="16" t="s">
        <v>14</v>
      </c>
      <c r="E1608" s="17">
        <v>0.54100000000000004</v>
      </c>
      <c r="F1608" s="18">
        <v>150000</v>
      </c>
    </row>
    <row r="1609" spans="1:6" x14ac:dyDescent="0.25">
      <c r="A1609" s="16">
        <v>457</v>
      </c>
      <c r="B1609" s="16">
        <v>25</v>
      </c>
      <c r="C1609" s="16">
        <v>45</v>
      </c>
      <c r="D1609" s="16" t="s">
        <v>2</v>
      </c>
      <c r="E1609" s="17">
        <v>0.442</v>
      </c>
      <c r="F1609" s="18">
        <f>93700+1000</f>
        <v>94700</v>
      </c>
    </row>
    <row r="1610" spans="1:6" x14ac:dyDescent="0.25">
      <c r="A1610" s="16">
        <v>457</v>
      </c>
      <c r="B1610" s="16">
        <v>25</v>
      </c>
      <c r="C1610" s="16">
        <v>45</v>
      </c>
      <c r="D1610" s="16" t="s">
        <v>2</v>
      </c>
      <c r="E1610" s="17">
        <v>0.17299999999999999</v>
      </c>
      <c r="F1610" s="18">
        <f>93700+1000</f>
        <v>94700</v>
      </c>
    </row>
    <row r="1611" spans="1:6" x14ac:dyDescent="0.25">
      <c r="A1611" s="16">
        <v>457</v>
      </c>
      <c r="B1611" s="16">
        <v>85</v>
      </c>
      <c r="C1611" s="16" t="s">
        <v>5</v>
      </c>
      <c r="D1611" s="16" t="s">
        <v>2</v>
      </c>
      <c r="E1611" s="17">
        <v>3</v>
      </c>
      <c r="F1611" s="18">
        <v>200000</v>
      </c>
    </row>
    <row r="1612" spans="1:6" x14ac:dyDescent="0.25">
      <c r="A1612" s="16">
        <v>465</v>
      </c>
      <c r="B1612" s="16">
        <v>16</v>
      </c>
      <c r="C1612" s="16">
        <v>20</v>
      </c>
      <c r="D1612" s="16" t="s">
        <v>2</v>
      </c>
      <c r="E1612" s="17">
        <f>4.423-1.05</f>
        <v>3.3730000000000002</v>
      </c>
      <c r="F1612" s="18">
        <f>91700+1000</f>
        <v>92700</v>
      </c>
    </row>
    <row r="1613" spans="1:6" x14ac:dyDescent="0.25">
      <c r="A1613" s="16">
        <v>465</v>
      </c>
      <c r="B1613" s="16">
        <v>16</v>
      </c>
      <c r="C1613" s="16">
        <v>20</v>
      </c>
      <c r="D1613" s="16" t="s">
        <v>2</v>
      </c>
      <c r="E1613" s="17">
        <v>1.05</v>
      </c>
      <c r="F1613" s="18">
        <f>91700+1000</f>
        <v>92700</v>
      </c>
    </row>
    <row r="1614" spans="1:6" x14ac:dyDescent="0.25">
      <c r="A1614" s="16">
        <v>465</v>
      </c>
      <c r="B1614" s="16">
        <v>22</v>
      </c>
      <c r="C1614" s="16">
        <v>20</v>
      </c>
      <c r="D1614" s="16" t="s">
        <v>4</v>
      </c>
      <c r="E1614" s="17">
        <v>3.0680000000000001</v>
      </c>
      <c r="F1614" s="18">
        <v>159700</v>
      </c>
    </row>
    <row r="1615" spans="1:6" x14ac:dyDescent="0.25">
      <c r="A1615" s="16">
        <v>465</v>
      </c>
      <c r="B1615" s="16">
        <v>25</v>
      </c>
      <c r="C1615" s="16" t="s">
        <v>7</v>
      </c>
      <c r="D1615" s="16" t="s">
        <v>14</v>
      </c>
      <c r="E1615" s="17">
        <v>1.5169999999999999</v>
      </c>
      <c r="F1615" s="18">
        <v>150000</v>
      </c>
    </row>
    <row r="1616" spans="1:6" x14ac:dyDescent="0.25">
      <c r="A1616" s="16">
        <v>465</v>
      </c>
      <c r="B1616" s="16">
        <v>25</v>
      </c>
      <c r="C1616" s="16" t="s">
        <v>0</v>
      </c>
      <c r="D1616" s="16" t="s">
        <v>2</v>
      </c>
      <c r="E1616" s="17">
        <f>12.84-0.277</f>
        <v>12.563000000000001</v>
      </c>
      <c r="F1616" s="18">
        <f>94700+1000</f>
        <v>95700</v>
      </c>
    </row>
    <row r="1617" spans="1:6" x14ac:dyDescent="0.25">
      <c r="A1617" s="16">
        <v>465</v>
      </c>
      <c r="B1617" s="16">
        <v>27</v>
      </c>
      <c r="C1617" s="16" t="s">
        <v>7</v>
      </c>
      <c r="D1617" s="16" t="s">
        <v>14</v>
      </c>
      <c r="E1617" s="17">
        <v>1.48</v>
      </c>
      <c r="F1617" s="18">
        <v>150000</v>
      </c>
    </row>
    <row r="1618" spans="1:6" x14ac:dyDescent="0.25">
      <c r="A1618" s="16">
        <v>465</v>
      </c>
      <c r="B1618" s="16">
        <v>28</v>
      </c>
      <c r="C1618" s="16" t="s">
        <v>0</v>
      </c>
      <c r="D1618" s="16" t="s">
        <v>13</v>
      </c>
      <c r="E1618" s="17">
        <v>4.1859999999999999</v>
      </c>
      <c r="F1618" s="18">
        <f>94700+1000</f>
        <v>95700</v>
      </c>
    </row>
    <row r="1619" spans="1:6" x14ac:dyDescent="0.25">
      <c r="A1619" s="16">
        <v>465</v>
      </c>
      <c r="B1619" s="16">
        <v>28</v>
      </c>
      <c r="C1619" s="16" t="s">
        <v>0</v>
      </c>
      <c r="D1619" s="16" t="s">
        <v>13</v>
      </c>
      <c r="E1619" s="17">
        <f>5.616-0.975-0.465-0.435</f>
        <v>3.7410000000000001</v>
      </c>
      <c r="F1619" s="18">
        <f>94700+1000</f>
        <v>95700</v>
      </c>
    </row>
    <row r="1620" spans="1:6" x14ac:dyDescent="0.25">
      <c r="A1620" s="16">
        <v>465</v>
      </c>
      <c r="B1620" s="16">
        <v>30</v>
      </c>
      <c r="C1620" s="16" t="s">
        <v>16</v>
      </c>
      <c r="D1620" s="16" t="s">
        <v>14</v>
      </c>
      <c r="E1620" s="17">
        <v>3.7109999999999999</v>
      </c>
      <c r="F1620" s="18">
        <v>150000</v>
      </c>
    </row>
    <row r="1621" spans="1:6" x14ac:dyDescent="0.25">
      <c r="A1621" s="16">
        <v>465</v>
      </c>
      <c r="B1621" s="16">
        <v>30</v>
      </c>
      <c r="C1621" s="16" t="s">
        <v>7</v>
      </c>
      <c r="D1621" s="16" t="s">
        <v>14</v>
      </c>
      <c r="E1621" s="17">
        <v>1.69</v>
      </c>
      <c r="F1621" s="18">
        <v>150000</v>
      </c>
    </row>
    <row r="1622" spans="1:6" x14ac:dyDescent="0.25">
      <c r="A1622" s="16">
        <v>465</v>
      </c>
      <c r="B1622" s="16">
        <v>32</v>
      </c>
      <c r="C1622" s="16">
        <v>20</v>
      </c>
      <c r="D1622" s="16" t="s">
        <v>2</v>
      </c>
      <c r="E1622" s="17">
        <v>5</v>
      </c>
      <c r="F1622" s="18">
        <f>112700+1000</f>
        <v>113700</v>
      </c>
    </row>
    <row r="1623" spans="1:6" x14ac:dyDescent="0.25">
      <c r="A1623" s="16">
        <v>465</v>
      </c>
      <c r="B1623" s="16">
        <v>40</v>
      </c>
      <c r="C1623" s="16">
        <v>20</v>
      </c>
      <c r="D1623" s="16" t="s">
        <v>2</v>
      </c>
      <c r="E1623" s="17">
        <f>9.161-0.458-0.118</f>
        <v>8.5849999999999991</v>
      </c>
      <c r="F1623" s="18">
        <f>112700+1000</f>
        <v>113700</v>
      </c>
    </row>
    <row r="1624" spans="1:6" x14ac:dyDescent="0.25">
      <c r="A1624" s="16">
        <v>465</v>
      </c>
      <c r="B1624" s="16">
        <v>40</v>
      </c>
      <c r="C1624" s="16" t="s">
        <v>0</v>
      </c>
      <c r="D1624" s="16" t="s">
        <v>2</v>
      </c>
      <c r="E1624" s="17">
        <v>3.2530000000000001</v>
      </c>
      <c r="F1624" s="18">
        <f>115700+1000</f>
        <v>116700</v>
      </c>
    </row>
    <row r="1625" spans="1:6" x14ac:dyDescent="0.25">
      <c r="A1625" s="16">
        <v>465</v>
      </c>
      <c r="B1625" s="16">
        <v>60</v>
      </c>
      <c r="C1625" s="16">
        <v>20</v>
      </c>
      <c r="D1625" s="16" t="s">
        <v>2</v>
      </c>
      <c r="E1625" s="17">
        <f>6.618-0.294</f>
        <v>6.3240000000000007</v>
      </c>
      <c r="F1625" s="18">
        <f>112700+1000</f>
        <v>113700</v>
      </c>
    </row>
    <row r="1626" spans="1:6" x14ac:dyDescent="0.25">
      <c r="A1626" s="16">
        <v>465</v>
      </c>
      <c r="B1626" s="16">
        <v>65</v>
      </c>
      <c r="C1626" s="16" t="s">
        <v>5</v>
      </c>
      <c r="D1626" s="16" t="s">
        <v>2</v>
      </c>
      <c r="E1626" s="17">
        <v>2.6240000000000001</v>
      </c>
      <c r="F1626" s="18">
        <v>200000</v>
      </c>
    </row>
    <row r="1627" spans="1:6" x14ac:dyDescent="0.25">
      <c r="A1627" s="16">
        <v>465</v>
      </c>
      <c r="B1627" s="16">
        <v>65</v>
      </c>
      <c r="C1627" s="16" t="s">
        <v>5</v>
      </c>
      <c r="D1627" s="16" t="s">
        <v>2</v>
      </c>
      <c r="E1627" s="17">
        <v>2.879</v>
      </c>
      <c r="F1627" s="18">
        <v>200000</v>
      </c>
    </row>
    <row r="1628" spans="1:6" x14ac:dyDescent="0.25">
      <c r="A1628" s="16">
        <v>465</v>
      </c>
      <c r="B1628" s="20">
        <v>80</v>
      </c>
      <c r="C1628" s="16">
        <v>20</v>
      </c>
      <c r="D1628" s="16" t="s">
        <v>10</v>
      </c>
      <c r="E1628" s="17">
        <f>1.618-1.128</f>
        <v>0.49000000000000021</v>
      </c>
      <c r="F1628" s="18">
        <f>112700+1000</f>
        <v>113700</v>
      </c>
    </row>
    <row r="1629" spans="1:6" x14ac:dyDescent="0.25">
      <c r="A1629" s="16">
        <v>480</v>
      </c>
      <c r="B1629" s="16">
        <v>20</v>
      </c>
      <c r="C1629" s="16">
        <v>20</v>
      </c>
      <c r="D1629" s="16" t="s">
        <v>2</v>
      </c>
      <c r="E1629" s="17">
        <v>5</v>
      </c>
      <c r="F1629" s="18">
        <f>102700+1000</f>
        <v>103700</v>
      </c>
    </row>
    <row r="1630" spans="1:6" x14ac:dyDescent="0.25">
      <c r="A1630" s="16">
        <v>480</v>
      </c>
      <c r="B1630" s="16">
        <v>20</v>
      </c>
      <c r="C1630" s="16" t="s">
        <v>0</v>
      </c>
      <c r="D1630" s="16" t="s">
        <v>2</v>
      </c>
      <c r="E1630" s="17">
        <v>5</v>
      </c>
      <c r="F1630" s="18">
        <f>106700+1000</f>
        <v>107700</v>
      </c>
    </row>
    <row r="1631" spans="1:6" x14ac:dyDescent="0.25">
      <c r="A1631" s="16">
        <v>480</v>
      </c>
      <c r="B1631" s="16">
        <v>25</v>
      </c>
      <c r="C1631" s="16" t="s">
        <v>0</v>
      </c>
      <c r="D1631" s="16" t="s">
        <v>2</v>
      </c>
      <c r="E1631" s="17">
        <v>5</v>
      </c>
      <c r="F1631" s="18">
        <f>106700+1000</f>
        <v>107700</v>
      </c>
    </row>
    <row r="1632" spans="1:6" x14ac:dyDescent="0.25">
      <c r="A1632" s="16">
        <v>485</v>
      </c>
      <c r="B1632" s="16">
        <v>25</v>
      </c>
      <c r="C1632" s="16">
        <v>20</v>
      </c>
      <c r="D1632" s="16" t="s">
        <v>2</v>
      </c>
      <c r="E1632" s="17">
        <v>5</v>
      </c>
      <c r="F1632" s="18">
        <f>102700+1000</f>
        <v>103700</v>
      </c>
    </row>
    <row r="1633" spans="1:6" x14ac:dyDescent="0.25">
      <c r="A1633" s="16">
        <v>485</v>
      </c>
      <c r="B1633" s="16">
        <v>32</v>
      </c>
      <c r="C1633" s="16">
        <v>20</v>
      </c>
      <c r="D1633" s="16" t="s">
        <v>2</v>
      </c>
      <c r="E1633" s="17">
        <v>5</v>
      </c>
      <c r="F1633" s="18">
        <f>112700+1000</f>
        <v>113700</v>
      </c>
    </row>
    <row r="1634" spans="1:6" x14ac:dyDescent="0.25">
      <c r="A1634" s="16">
        <v>485</v>
      </c>
      <c r="B1634" s="16">
        <v>32</v>
      </c>
      <c r="C1634" s="16" t="s">
        <v>5</v>
      </c>
      <c r="D1634" s="16" t="s">
        <v>2</v>
      </c>
      <c r="E1634" s="17">
        <v>5</v>
      </c>
      <c r="F1634" s="18">
        <v>200000</v>
      </c>
    </row>
    <row r="1635" spans="1:6" x14ac:dyDescent="0.25">
      <c r="A1635" s="16">
        <v>485</v>
      </c>
      <c r="B1635" s="16">
        <v>36</v>
      </c>
      <c r="C1635" s="16">
        <v>20</v>
      </c>
      <c r="D1635" s="16" t="s">
        <v>2</v>
      </c>
      <c r="E1635" s="17">
        <v>2.4740000000000002</v>
      </c>
      <c r="F1635" s="18">
        <f>112700+1000</f>
        <v>113700</v>
      </c>
    </row>
    <row r="1636" spans="1:6" x14ac:dyDescent="0.25">
      <c r="A1636" s="16">
        <v>485</v>
      </c>
      <c r="B1636" s="16">
        <v>36</v>
      </c>
      <c r="C1636" s="16" t="s">
        <v>0</v>
      </c>
      <c r="D1636" s="16" t="s">
        <v>2</v>
      </c>
      <c r="E1636" s="17">
        <v>3.16</v>
      </c>
      <c r="F1636" s="18">
        <f>115700+1000</f>
        <v>116700</v>
      </c>
    </row>
    <row r="1637" spans="1:6" x14ac:dyDescent="0.25">
      <c r="A1637" s="16">
        <v>485</v>
      </c>
      <c r="B1637" s="16">
        <v>40</v>
      </c>
      <c r="C1637" s="16" t="s">
        <v>0</v>
      </c>
      <c r="D1637" s="16" t="s">
        <v>2</v>
      </c>
      <c r="E1637" s="17">
        <v>3.0760000000000001</v>
      </c>
      <c r="F1637" s="18">
        <v>116700</v>
      </c>
    </row>
    <row r="1638" spans="1:6" x14ac:dyDescent="0.25">
      <c r="A1638" s="16">
        <v>485</v>
      </c>
      <c r="B1638" s="16">
        <v>45</v>
      </c>
      <c r="C1638" s="16">
        <v>20</v>
      </c>
      <c r="D1638" s="16" t="s">
        <v>2</v>
      </c>
      <c r="E1638" s="17">
        <v>5</v>
      </c>
      <c r="F1638" s="18">
        <f t="shared" ref="F1638:F1640" si="5">112700+1000</f>
        <v>113700</v>
      </c>
    </row>
    <row r="1639" spans="1:6" x14ac:dyDescent="0.25">
      <c r="A1639" s="16">
        <v>485</v>
      </c>
      <c r="B1639" s="16">
        <v>56</v>
      </c>
      <c r="C1639" s="16">
        <v>20</v>
      </c>
      <c r="D1639" s="16" t="s">
        <v>2</v>
      </c>
      <c r="E1639" s="17">
        <v>20</v>
      </c>
      <c r="F1639" s="18">
        <f t="shared" si="5"/>
        <v>113700</v>
      </c>
    </row>
    <row r="1640" spans="1:6" x14ac:dyDescent="0.25">
      <c r="A1640" s="16">
        <v>485</v>
      </c>
      <c r="B1640" s="16">
        <v>56</v>
      </c>
      <c r="C1640" s="16">
        <v>20</v>
      </c>
      <c r="D1640" s="16" t="s">
        <v>2</v>
      </c>
      <c r="E1640" s="17">
        <v>5</v>
      </c>
      <c r="F1640" s="18">
        <f t="shared" si="5"/>
        <v>113700</v>
      </c>
    </row>
    <row r="1641" spans="1:6" x14ac:dyDescent="0.25">
      <c r="A1641" s="16">
        <v>485</v>
      </c>
      <c r="B1641" s="16">
        <v>60</v>
      </c>
      <c r="C1641" s="16">
        <v>35</v>
      </c>
      <c r="D1641" s="16" t="s">
        <v>2</v>
      </c>
      <c r="E1641" s="17">
        <v>5</v>
      </c>
      <c r="F1641" s="18">
        <f>115700+1000</f>
        <v>116700</v>
      </c>
    </row>
    <row r="1642" spans="1:6" x14ac:dyDescent="0.25">
      <c r="A1642" s="16">
        <v>508</v>
      </c>
      <c r="B1642" s="16">
        <v>16</v>
      </c>
      <c r="C1642" s="16">
        <v>20</v>
      </c>
      <c r="D1642" s="16" t="s">
        <v>2</v>
      </c>
      <c r="E1642" s="17">
        <v>18</v>
      </c>
      <c r="F1642" s="18">
        <v>113700</v>
      </c>
    </row>
    <row r="1643" spans="1:6" x14ac:dyDescent="0.25">
      <c r="A1643" s="16">
        <v>508</v>
      </c>
      <c r="B1643" s="16">
        <v>18</v>
      </c>
      <c r="C1643" s="16">
        <v>20</v>
      </c>
      <c r="D1643" s="16" t="s">
        <v>2</v>
      </c>
      <c r="E1643" s="17">
        <v>1.96</v>
      </c>
      <c r="F1643" s="18">
        <f>112700+1000</f>
        <v>113700</v>
      </c>
    </row>
    <row r="1644" spans="1:6" x14ac:dyDescent="0.25">
      <c r="A1644" s="16">
        <v>508</v>
      </c>
      <c r="B1644" s="16">
        <v>18</v>
      </c>
      <c r="C1644" s="16">
        <v>20</v>
      </c>
      <c r="D1644" s="16" t="s">
        <v>2</v>
      </c>
      <c r="E1644" s="17">
        <f>1.999-0.871-0.645-0.316+0.031</f>
        <v>0.19800000000000009</v>
      </c>
      <c r="F1644" s="18">
        <f>112700+1000</f>
        <v>113700</v>
      </c>
    </row>
    <row r="1645" spans="1:6" x14ac:dyDescent="0.25">
      <c r="A1645" s="16">
        <v>508</v>
      </c>
      <c r="B1645" s="16">
        <v>25</v>
      </c>
      <c r="C1645" s="16">
        <v>20</v>
      </c>
      <c r="D1645" s="16" t="s">
        <v>2</v>
      </c>
      <c r="E1645" s="17">
        <v>5</v>
      </c>
      <c r="F1645" s="18">
        <f>112700+1000</f>
        <v>113700</v>
      </c>
    </row>
    <row r="1646" spans="1:6" x14ac:dyDescent="0.25">
      <c r="A1646" s="16">
        <v>508</v>
      </c>
      <c r="B1646" s="16">
        <v>36</v>
      </c>
      <c r="C1646" s="16">
        <v>20</v>
      </c>
      <c r="D1646" s="16" t="s">
        <v>2</v>
      </c>
      <c r="E1646" s="17">
        <f>5.209-0.126-0.67-0.251-1.681-0.432</f>
        <v>2.048999999999999</v>
      </c>
      <c r="F1646" s="18">
        <f>112700+1000</f>
        <v>113700</v>
      </c>
    </row>
    <row r="1647" spans="1:6" x14ac:dyDescent="0.25">
      <c r="A1647" s="16">
        <v>508</v>
      </c>
      <c r="B1647" s="16">
        <v>50</v>
      </c>
      <c r="C1647" s="16" t="s">
        <v>5</v>
      </c>
      <c r="D1647" s="16" t="s">
        <v>2</v>
      </c>
      <c r="E1647" s="17">
        <v>5</v>
      </c>
      <c r="F1647" s="18">
        <v>200000</v>
      </c>
    </row>
    <row r="1648" spans="1:6" x14ac:dyDescent="0.25">
      <c r="A1648" s="16">
        <v>508</v>
      </c>
      <c r="B1648" s="16">
        <v>65</v>
      </c>
      <c r="C1648" s="16">
        <v>20</v>
      </c>
      <c r="D1648" s="16" t="s">
        <v>2</v>
      </c>
      <c r="E1648" s="17">
        <v>0.53300000000000003</v>
      </c>
      <c r="F1648" s="18">
        <f>112700+1000</f>
        <v>113700</v>
      </c>
    </row>
    <row r="1649" spans="1:6" x14ac:dyDescent="0.25">
      <c r="A1649" s="16">
        <v>508</v>
      </c>
      <c r="B1649" s="16">
        <v>65</v>
      </c>
      <c r="C1649" s="16">
        <v>20</v>
      </c>
      <c r="D1649" s="16" t="s">
        <v>2</v>
      </c>
      <c r="E1649" s="17">
        <v>0.53300000000000003</v>
      </c>
      <c r="F1649" s="18">
        <f>89700+3000+1000</f>
        <v>93700</v>
      </c>
    </row>
    <row r="1650" spans="1:6" x14ac:dyDescent="0.25">
      <c r="A1650" s="16">
        <v>508</v>
      </c>
      <c r="B1650" s="16">
        <v>70</v>
      </c>
      <c r="C1650" s="16" t="s">
        <v>0</v>
      </c>
      <c r="D1650" s="16" t="s">
        <v>10</v>
      </c>
      <c r="E1650" s="17">
        <f>20.521-5.285</f>
        <v>15.236000000000001</v>
      </c>
      <c r="F1650" s="18">
        <f>115700+1000</f>
        <v>116700</v>
      </c>
    </row>
    <row r="1651" spans="1:6" x14ac:dyDescent="0.25">
      <c r="A1651" s="16">
        <v>508</v>
      </c>
      <c r="B1651" s="16">
        <v>70</v>
      </c>
      <c r="C1651" s="16" t="s">
        <v>0</v>
      </c>
      <c r="D1651" s="16" t="s">
        <v>10</v>
      </c>
      <c r="E1651" s="17">
        <v>1.1499999999999999</v>
      </c>
      <c r="F1651" s="18">
        <f>115700+1000</f>
        <v>116700</v>
      </c>
    </row>
    <row r="1652" spans="1:6" x14ac:dyDescent="0.25">
      <c r="A1652" s="16">
        <v>508</v>
      </c>
      <c r="B1652" s="16">
        <v>70</v>
      </c>
      <c r="C1652" s="16" t="s">
        <v>59</v>
      </c>
      <c r="D1652" s="16" t="s">
        <v>14</v>
      </c>
      <c r="E1652" s="17">
        <v>2.84</v>
      </c>
      <c r="F1652" s="18">
        <f>125700+1000</f>
        <v>126700</v>
      </c>
    </row>
    <row r="1653" spans="1:6" x14ac:dyDescent="0.25">
      <c r="A1653" s="16">
        <v>530</v>
      </c>
      <c r="B1653" s="16">
        <v>7</v>
      </c>
      <c r="C1653" s="16" t="s">
        <v>101</v>
      </c>
      <c r="D1653" s="16" t="s">
        <v>25</v>
      </c>
      <c r="E1653" s="17">
        <f>1.019-0.101</f>
        <v>0.91799999999999993</v>
      </c>
      <c r="F1653" s="18">
        <v>56700</v>
      </c>
    </row>
    <row r="1654" spans="1:6" x14ac:dyDescent="0.25">
      <c r="A1654" s="16">
        <v>530</v>
      </c>
      <c r="B1654" s="16">
        <v>8</v>
      </c>
      <c r="C1654" s="16" t="s">
        <v>101</v>
      </c>
      <c r="D1654" s="16" t="s">
        <v>25</v>
      </c>
      <c r="E1654" s="17">
        <v>5.9980000000000002</v>
      </c>
      <c r="F1654" s="18">
        <v>56700</v>
      </c>
    </row>
    <row r="1655" spans="1:6" x14ac:dyDescent="0.25">
      <c r="A1655" s="16">
        <v>530</v>
      </c>
      <c r="B1655" s="16">
        <v>10</v>
      </c>
      <c r="C1655" s="16" t="s">
        <v>101</v>
      </c>
      <c r="D1655" s="16" t="s">
        <v>25</v>
      </c>
      <c r="E1655" s="17">
        <f>1.54-0.111</f>
        <v>1.429</v>
      </c>
      <c r="F1655" s="18">
        <v>56700</v>
      </c>
    </row>
    <row r="1656" spans="1:6" x14ac:dyDescent="0.25">
      <c r="A1656" s="16">
        <v>530</v>
      </c>
      <c r="B1656" s="16">
        <v>12</v>
      </c>
      <c r="C1656" s="16" t="s">
        <v>8</v>
      </c>
      <c r="D1656" s="16" t="s">
        <v>12</v>
      </c>
      <c r="E1656" s="17">
        <v>8</v>
      </c>
      <c r="F1656" s="18">
        <v>500000</v>
      </c>
    </row>
    <row r="1657" spans="1:6" x14ac:dyDescent="0.25">
      <c r="A1657" s="16">
        <v>530</v>
      </c>
      <c r="B1657" s="16">
        <v>12</v>
      </c>
      <c r="C1657" s="16" t="s">
        <v>53</v>
      </c>
      <c r="D1657" s="16" t="s">
        <v>52</v>
      </c>
      <c r="E1657" s="17">
        <f>1.498-0.117-0.346</f>
        <v>1.0350000000000001</v>
      </c>
      <c r="F1657" s="18">
        <f>66700+3000</f>
        <v>69700</v>
      </c>
    </row>
    <row r="1658" spans="1:6" x14ac:dyDescent="0.25">
      <c r="A1658" s="16">
        <v>530</v>
      </c>
      <c r="B1658" s="16">
        <v>18</v>
      </c>
      <c r="C1658" s="16">
        <v>10</v>
      </c>
      <c r="D1658" s="16" t="s">
        <v>2</v>
      </c>
      <c r="E1658" s="17">
        <f>20.521-5.1</f>
        <v>15.421000000000001</v>
      </c>
      <c r="F1658" s="18">
        <f>112700+1000</f>
        <v>113700</v>
      </c>
    </row>
    <row r="1659" spans="1:6" x14ac:dyDescent="0.25">
      <c r="A1659" s="16">
        <v>530</v>
      </c>
      <c r="B1659" s="16">
        <v>18</v>
      </c>
      <c r="C1659" s="16">
        <v>10</v>
      </c>
      <c r="D1659" s="16" t="s">
        <v>2</v>
      </c>
      <c r="E1659" s="17">
        <v>2.3180000000000001</v>
      </c>
      <c r="F1659" s="18">
        <f>112700+1000</f>
        <v>113700</v>
      </c>
    </row>
    <row r="1660" spans="1:6" x14ac:dyDescent="0.25">
      <c r="A1660" s="16">
        <v>530</v>
      </c>
      <c r="B1660" s="16">
        <v>18</v>
      </c>
      <c r="C1660" s="16">
        <v>10</v>
      </c>
      <c r="D1660" s="16" t="s">
        <v>2</v>
      </c>
      <c r="E1660" s="17">
        <f>19.406-0.706-1.813</f>
        <v>16.887</v>
      </c>
      <c r="F1660" s="18">
        <f>112700+1000</f>
        <v>113700</v>
      </c>
    </row>
    <row r="1661" spans="1:6" x14ac:dyDescent="0.25">
      <c r="A1661" s="16">
        <v>530</v>
      </c>
      <c r="B1661" s="16">
        <v>18</v>
      </c>
      <c r="C1661" s="16">
        <v>10</v>
      </c>
      <c r="D1661" s="16" t="s">
        <v>2</v>
      </c>
      <c r="E1661" s="17">
        <v>2.5430000000000001</v>
      </c>
      <c r="F1661" s="18">
        <f>112700+1000</f>
        <v>113700</v>
      </c>
    </row>
    <row r="1662" spans="1:6" x14ac:dyDescent="0.25">
      <c r="A1662" s="16">
        <v>530</v>
      </c>
      <c r="B1662" s="16">
        <v>20</v>
      </c>
      <c r="C1662" s="16" t="s">
        <v>0</v>
      </c>
      <c r="D1662" s="16" t="s">
        <v>10</v>
      </c>
      <c r="E1662" s="17">
        <f>9.012-0.383-2.561</f>
        <v>6.0680000000000014</v>
      </c>
      <c r="F1662" s="18">
        <f>115700+1000</f>
        <v>116700</v>
      </c>
    </row>
    <row r="1663" spans="1:6" x14ac:dyDescent="0.25">
      <c r="A1663" s="16">
        <v>530</v>
      </c>
      <c r="B1663" s="16">
        <v>20</v>
      </c>
      <c r="C1663" s="16" t="s">
        <v>0</v>
      </c>
      <c r="D1663" s="16" t="s">
        <v>10</v>
      </c>
      <c r="E1663" s="17">
        <v>3.0819999999999999</v>
      </c>
      <c r="F1663" s="18">
        <f>115700+1000</f>
        <v>116700</v>
      </c>
    </row>
    <row r="1664" spans="1:6" x14ac:dyDescent="0.25">
      <c r="A1664" s="16">
        <v>530</v>
      </c>
      <c r="B1664" s="16">
        <v>22</v>
      </c>
      <c r="C1664" s="16">
        <v>20</v>
      </c>
      <c r="D1664" s="16" t="s">
        <v>93</v>
      </c>
      <c r="E1664" s="17">
        <v>2.5579999999999998</v>
      </c>
      <c r="F1664" s="18">
        <f>120000+1000</f>
        <v>121000</v>
      </c>
    </row>
    <row r="1665" spans="1:6" x14ac:dyDescent="0.25">
      <c r="A1665" s="16">
        <v>530</v>
      </c>
      <c r="B1665" s="20">
        <v>24</v>
      </c>
      <c r="C1665" s="16">
        <v>20</v>
      </c>
      <c r="D1665" s="16" t="s">
        <v>2</v>
      </c>
      <c r="E1665" s="17">
        <v>0.64800000000000002</v>
      </c>
      <c r="F1665" s="18">
        <f>112700+1000</f>
        <v>113700</v>
      </c>
    </row>
    <row r="1666" spans="1:6" x14ac:dyDescent="0.25">
      <c r="A1666" s="16">
        <v>530</v>
      </c>
      <c r="B1666" s="20">
        <v>25</v>
      </c>
      <c r="C1666" s="16">
        <v>20</v>
      </c>
      <c r="D1666" s="16" t="s">
        <v>2</v>
      </c>
      <c r="E1666" s="17">
        <f>0.813+1.716+0.632-0.814-0.861-0.855</f>
        <v>0.63100000000000001</v>
      </c>
      <c r="F1666" s="18">
        <f>112700+1000</f>
        <v>113700</v>
      </c>
    </row>
    <row r="1667" spans="1:6" x14ac:dyDescent="0.25">
      <c r="A1667" s="16">
        <v>530</v>
      </c>
      <c r="B1667" s="16">
        <v>25</v>
      </c>
      <c r="C1667" s="16">
        <v>20</v>
      </c>
      <c r="D1667" s="16" t="s">
        <v>2</v>
      </c>
      <c r="E1667" s="17">
        <f>11.159-9.063+2.279-2.279</f>
        <v>2.0960000000000001</v>
      </c>
      <c r="F1667" s="18">
        <f>112700+1000</f>
        <v>113700</v>
      </c>
    </row>
    <row r="1668" spans="1:6" x14ac:dyDescent="0.25">
      <c r="A1668" s="16">
        <v>530</v>
      </c>
      <c r="B1668" s="20">
        <v>25</v>
      </c>
      <c r="C1668" s="16">
        <v>20</v>
      </c>
      <c r="D1668" s="16" t="s">
        <v>10</v>
      </c>
      <c r="E1668" s="17">
        <f>3.858-0.515-0.67-0.342-0.324-1.255</f>
        <v>0.75200000000000022</v>
      </c>
      <c r="F1668" s="18">
        <f>112700+1000</f>
        <v>113700</v>
      </c>
    </row>
    <row r="1669" spans="1:6" x14ac:dyDescent="0.25">
      <c r="A1669" s="16">
        <v>530</v>
      </c>
      <c r="B1669" s="16">
        <v>25</v>
      </c>
      <c r="C1669" s="16" t="s">
        <v>0</v>
      </c>
      <c r="D1669" s="16" t="s">
        <v>2</v>
      </c>
      <c r="E1669" s="17">
        <f>7.216-2.456</f>
        <v>4.76</v>
      </c>
      <c r="F1669" s="18">
        <f>115700+1000</f>
        <v>116700</v>
      </c>
    </row>
    <row r="1670" spans="1:6" x14ac:dyDescent="0.25">
      <c r="A1670" s="16">
        <v>530</v>
      </c>
      <c r="B1670" s="16">
        <v>25</v>
      </c>
      <c r="C1670" s="16" t="s">
        <v>0</v>
      </c>
      <c r="D1670" s="16" t="s">
        <v>2</v>
      </c>
      <c r="E1670" s="17">
        <v>2.69</v>
      </c>
      <c r="F1670" s="18">
        <f>115700+1000</f>
        <v>116700</v>
      </c>
    </row>
    <row r="1671" spans="1:6" x14ac:dyDescent="0.25">
      <c r="A1671" s="16">
        <v>530</v>
      </c>
      <c r="B1671" s="16">
        <v>25</v>
      </c>
      <c r="C1671" s="16">
        <v>20</v>
      </c>
      <c r="D1671" s="16" t="s">
        <v>2</v>
      </c>
      <c r="E1671" s="17">
        <v>10</v>
      </c>
      <c r="F1671" s="18">
        <f>112700+1000</f>
        <v>113700</v>
      </c>
    </row>
    <row r="1672" spans="1:6" x14ac:dyDescent="0.25">
      <c r="A1672" s="16">
        <v>530</v>
      </c>
      <c r="B1672" s="16">
        <v>32</v>
      </c>
      <c r="C1672" s="16">
        <v>20</v>
      </c>
      <c r="D1672" s="16" t="s">
        <v>10</v>
      </c>
      <c r="E1672" s="17">
        <v>5</v>
      </c>
      <c r="F1672" s="18">
        <f>112700+1000</f>
        <v>113700</v>
      </c>
    </row>
    <row r="1673" spans="1:6" x14ac:dyDescent="0.25">
      <c r="A1673" s="16">
        <v>530</v>
      </c>
      <c r="B1673" s="16">
        <v>32</v>
      </c>
      <c r="C1673" s="16" t="s">
        <v>0</v>
      </c>
      <c r="D1673" s="16" t="s">
        <v>2</v>
      </c>
      <c r="E1673" s="17">
        <f>1.21-0.252</f>
        <v>0.95799999999999996</v>
      </c>
      <c r="F1673" s="18">
        <f t="shared" ref="F1673:F1678" si="6">115700+1000</f>
        <v>116700</v>
      </c>
    </row>
    <row r="1674" spans="1:6" x14ac:dyDescent="0.25">
      <c r="A1674" s="16">
        <v>530</v>
      </c>
      <c r="B1674" s="16">
        <v>32</v>
      </c>
      <c r="C1674" s="16" t="s">
        <v>0</v>
      </c>
      <c r="D1674" s="16" t="s">
        <v>10</v>
      </c>
      <c r="E1674" s="17">
        <f>10.73-2.5-2.684</f>
        <v>5.5460000000000003</v>
      </c>
      <c r="F1674" s="18">
        <f t="shared" si="6"/>
        <v>116700</v>
      </c>
    </row>
    <row r="1675" spans="1:6" x14ac:dyDescent="0.25">
      <c r="A1675" s="16">
        <v>530</v>
      </c>
      <c r="B1675" s="16">
        <v>32</v>
      </c>
      <c r="C1675" s="16" t="s">
        <v>0</v>
      </c>
      <c r="D1675" s="16" t="s">
        <v>10</v>
      </c>
      <c r="E1675" s="17">
        <f>16.695-11.425</f>
        <v>5.27</v>
      </c>
      <c r="F1675" s="18">
        <f t="shared" si="6"/>
        <v>116700</v>
      </c>
    </row>
    <row r="1676" spans="1:6" x14ac:dyDescent="0.25">
      <c r="A1676" s="16">
        <v>530</v>
      </c>
      <c r="B1676" s="16">
        <v>32</v>
      </c>
      <c r="C1676" s="16" t="s">
        <v>0</v>
      </c>
      <c r="D1676" s="16" t="s">
        <v>10</v>
      </c>
      <c r="E1676" s="17">
        <v>15.598000000000001</v>
      </c>
      <c r="F1676" s="18">
        <f t="shared" si="6"/>
        <v>116700</v>
      </c>
    </row>
    <row r="1677" spans="1:6" x14ac:dyDescent="0.25">
      <c r="A1677" s="16">
        <v>530</v>
      </c>
      <c r="B1677" s="16">
        <v>32</v>
      </c>
      <c r="C1677" s="16" t="s">
        <v>0</v>
      </c>
      <c r="D1677" s="16" t="s">
        <v>10</v>
      </c>
      <c r="E1677" s="17">
        <f>9.51-1.668</f>
        <v>7.8419999999999996</v>
      </c>
      <c r="F1677" s="18">
        <f t="shared" si="6"/>
        <v>116700</v>
      </c>
    </row>
    <row r="1678" spans="1:6" x14ac:dyDescent="0.25">
      <c r="A1678" s="16">
        <v>530</v>
      </c>
      <c r="B1678" s="16">
        <v>32</v>
      </c>
      <c r="C1678" s="16" t="s">
        <v>0</v>
      </c>
      <c r="D1678" s="16" t="s">
        <v>10</v>
      </c>
      <c r="E1678" s="17">
        <v>2.5489999999999999</v>
      </c>
      <c r="F1678" s="18">
        <f t="shared" si="6"/>
        <v>116700</v>
      </c>
    </row>
    <row r="1679" spans="1:6" x14ac:dyDescent="0.25">
      <c r="A1679" s="16">
        <v>530</v>
      </c>
      <c r="B1679" s="16">
        <v>36</v>
      </c>
      <c r="C1679" s="16">
        <v>20</v>
      </c>
      <c r="D1679" s="16" t="s">
        <v>2</v>
      </c>
      <c r="E1679" s="17">
        <v>5</v>
      </c>
      <c r="F1679" s="18">
        <f>112700+1000</f>
        <v>113700</v>
      </c>
    </row>
    <row r="1680" spans="1:6" x14ac:dyDescent="0.25">
      <c r="A1680" s="16">
        <v>530</v>
      </c>
      <c r="B1680" s="16">
        <v>40</v>
      </c>
      <c r="C1680" s="16">
        <v>20</v>
      </c>
      <c r="D1680" s="16" t="s">
        <v>2</v>
      </c>
      <c r="E1680" s="17">
        <v>4.4859999999999998</v>
      </c>
      <c r="F1680" s="18">
        <f>112700+1000</f>
        <v>113700</v>
      </c>
    </row>
    <row r="1681" spans="1:6" x14ac:dyDescent="0.25">
      <c r="A1681" s="16">
        <v>530</v>
      </c>
      <c r="B1681" s="16">
        <v>40</v>
      </c>
      <c r="C1681" s="16">
        <v>20</v>
      </c>
      <c r="D1681" s="16" t="s">
        <v>2</v>
      </c>
      <c r="E1681" s="17">
        <f>11.729-1.006-5.734-0.315-0.789</f>
        <v>3.8849999999999985</v>
      </c>
      <c r="F1681" s="18">
        <f>112700+1000</f>
        <v>113700</v>
      </c>
    </row>
    <row r="1682" spans="1:6" x14ac:dyDescent="0.25">
      <c r="A1682" s="16">
        <v>530</v>
      </c>
      <c r="B1682" s="16">
        <v>40</v>
      </c>
      <c r="C1682" s="16">
        <v>20</v>
      </c>
      <c r="D1682" s="16" t="s">
        <v>2</v>
      </c>
      <c r="E1682" s="17">
        <v>1.5</v>
      </c>
      <c r="F1682" s="18">
        <f>112700+1000</f>
        <v>113700</v>
      </c>
    </row>
    <row r="1683" spans="1:6" x14ac:dyDescent="0.25">
      <c r="A1683" s="16">
        <v>530</v>
      </c>
      <c r="B1683" s="16">
        <v>45</v>
      </c>
      <c r="C1683" s="16">
        <v>20</v>
      </c>
      <c r="D1683" s="16" t="s">
        <v>10</v>
      </c>
      <c r="E1683" s="17">
        <v>5.7380000000000004</v>
      </c>
      <c r="F1683" s="18">
        <f>112700+1000</f>
        <v>113700</v>
      </c>
    </row>
    <row r="1684" spans="1:6" x14ac:dyDescent="0.25">
      <c r="A1684" s="16">
        <v>530</v>
      </c>
      <c r="B1684" s="16">
        <v>45</v>
      </c>
      <c r="C1684" s="16" t="s">
        <v>0</v>
      </c>
      <c r="D1684" s="16" t="s">
        <v>10</v>
      </c>
      <c r="E1684" s="17">
        <v>6.6459999999999999</v>
      </c>
      <c r="F1684" s="18">
        <f>115700+1000</f>
        <v>116700</v>
      </c>
    </row>
    <row r="1685" spans="1:6" x14ac:dyDescent="0.25">
      <c r="A1685" s="16">
        <v>530</v>
      </c>
      <c r="B1685" s="16">
        <v>50</v>
      </c>
      <c r="C1685" s="16">
        <v>20</v>
      </c>
      <c r="D1685" s="16" t="s">
        <v>2</v>
      </c>
      <c r="E1685" s="17">
        <v>2.7530000000000001</v>
      </c>
      <c r="F1685" s="18">
        <f>112700+1000</f>
        <v>113700</v>
      </c>
    </row>
    <row r="1686" spans="1:6" x14ac:dyDescent="0.25">
      <c r="A1686" s="16">
        <v>530</v>
      </c>
      <c r="B1686" s="16">
        <v>50</v>
      </c>
      <c r="C1686" s="16">
        <v>20</v>
      </c>
      <c r="D1686" s="16" t="s">
        <v>2</v>
      </c>
      <c r="E1686" s="17">
        <v>10</v>
      </c>
      <c r="F1686" s="18">
        <f>112700+1000</f>
        <v>113700</v>
      </c>
    </row>
    <row r="1687" spans="1:6" x14ac:dyDescent="0.25">
      <c r="A1687" s="16">
        <v>530</v>
      </c>
      <c r="B1687" s="16">
        <v>50</v>
      </c>
      <c r="C1687" s="16" t="s">
        <v>0</v>
      </c>
      <c r="D1687" s="16" t="s">
        <v>2</v>
      </c>
      <c r="E1687" s="17">
        <v>2</v>
      </c>
      <c r="F1687" s="18">
        <f>115700+1000</f>
        <v>116700</v>
      </c>
    </row>
    <row r="1688" spans="1:6" x14ac:dyDescent="0.25">
      <c r="A1688" s="16">
        <v>530</v>
      </c>
      <c r="B1688" s="16">
        <v>60</v>
      </c>
      <c r="C1688" s="16">
        <v>20</v>
      </c>
      <c r="D1688" s="16" t="s">
        <v>2</v>
      </c>
      <c r="E1688" s="17">
        <v>5</v>
      </c>
      <c r="F1688" s="18">
        <f>112700+1000</f>
        <v>113700</v>
      </c>
    </row>
    <row r="1689" spans="1:6" x14ac:dyDescent="0.25">
      <c r="A1689" s="16">
        <v>530</v>
      </c>
      <c r="B1689" s="16">
        <v>60</v>
      </c>
      <c r="C1689" s="16" t="s">
        <v>0</v>
      </c>
      <c r="D1689" s="16" t="s">
        <v>10</v>
      </c>
      <c r="E1689" s="17">
        <f>5.81-2.213</f>
        <v>3.5969999999999995</v>
      </c>
      <c r="F1689" s="18">
        <f>115700+1000</f>
        <v>116700</v>
      </c>
    </row>
    <row r="1690" spans="1:6" x14ac:dyDescent="0.25">
      <c r="A1690" s="16">
        <v>530</v>
      </c>
      <c r="B1690" s="16">
        <v>60</v>
      </c>
      <c r="C1690" s="16" t="s">
        <v>5</v>
      </c>
      <c r="D1690" s="16" t="s">
        <v>2</v>
      </c>
      <c r="E1690" s="17">
        <v>10</v>
      </c>
      <c r="F1690" s="18">
        <v>220000</v>
      </c>
    </row>
    <row r="1691" spans="1:6" x14ac:dyDescent="0.25">
      <c r="A1691" s="16">
        <v>530</v>
      </c>
      <c r="B1691" s="16">
        <v>70</v>
      </c>
      <c r="C1691" s="16">
        <v>20</v>
      </c>
      <c r="D1691" s="16" t="s">
        <v>2</v>
      </c>
      <c r="E1691" s="17">
        <v>10</v>
      </c>
      <c r="F1691" s="18">
        <f>112700+1000</f>
        <v>113700</v>
      </c>
    </row>
    <row r="1692" spans="1:6" x14ac:dyDescent="0.25">
      <c r="A1692" s="16">
        <v>530</v>
      </c>
      <c r="B1692" s="16">
        <v>70</v>
      </c>
      <c r="C1692" s="16">
        <v>20</v>
      </c>
      <c r="D1692" s="16" t="s">
        <v>10</v>
      </c>
      <c r="E1692" s="17">
        <f>2.946-1.208</f>
        <v>1.7380000000000002</v>
      </c>
      <c r="F1692" s="18">
        <f>112700+1000</f>
        <v>113700</v>
      </c>
    </row>
    <row r="1693" spans="1:6" x14ac:dyDescent="0.25">
      <c r="A1693" s="16">
        <v>530</v>
      </c>
      <c r="B1693" s="20">
        <v>70</v>
      </c>
      <c r="C1693" s="16">
        <v>20</v>
      </c>
      <c r="D1693" s="16" t="s">
        <v>2</v>
      </c>
      <c r="E1693" s="17">
        <v>0.95699999999999996</v>
      </c>
      <c r="F1693" s="18">
        <f>112700+1000</f>
        <v>113700</v>
      </c>
    </row>
    <row r="1694" spans="1:6" x14ac:dyDescent="0.25">
      <c r="A1694" s="16">
        <v>530</v>
      </c>
      <c r="B1694" s="16">
        <v>70</v>
      </c>
      <c r="C1694" s="16" t="s">
        <v>0</v>
      </c>
      <c r="D1694" s="16" t="s">
        <v>10</v>
      </c>
      <c r="E1694" s="17">
        <v>2.6360000000000001</v>
      </c>
      <c r="F1694" s="18">
        <f>115700+1000</f>
        <v>116700</v>
      </c>
    </row>
    <row r="1695" spans="1:6" x14ac:dyDescent="0.25">
      <c r="A1695" s="16">
        <v>530</v>
      </c>
      <c r="B1695" s="16">
        <v>80</v>
      </c>
      <c r="C1695" s="16">
        <v>20</v>
      </c>
      <c r="D1695" s="16" t="s">
        <v>10</v>
      </c>
      <c r="E1695" s="17">
        <f>6.046-1.686-0.444</f>
        <v>3.9160000000000004</v>
      </c>
      <c r="F1695" s="18">
        <f>112700+1000</f>
        <v>113700</v>
      </c>
    </row>
    <row r="1696" spans="1:6" x14ac:dyDescent="0.25">
      <c r="A1696" s="16">
        <v>530</v>
      </c>
      <c r="B1696" s="16">
        <v>80</v>
      </c>
      <c r="C1696" s="16">
        <v>20</v>
      </c>
      <c r="D1696" s="16" t="s">
        <v>2</v>
      </c>
      <c r="E1696" s="17">
        <v>5</v>
      </c>
      <c r="F1696" s="18">
        <v>113700</v>
      </c>
    </row>
    <row r="1697" spans="1:6" x14ac:dyDescent="0.25">
      <c r="A1697" s="16">
        <v>550</v>
      </c>
      <c r="B1697" s="16">
        <v>25</v>
      </c>
      <c r="C1697" s="16" t="s">
        <v>0</v>
      </c>
      <c r="D1697" s="16" t="s">
        <v>2</v>
      </c>
      <c r="E1697" s="17">
        <v>15</v>
      </c>
      <c r="F1697" s="18">
        <f>115700+1000</f>
        <v>116700</v>
      </c>
    </row>
    <row r="1698" spans="1:6" x14ac:dyDescent="0.25">
      <c r="A1698" s="16">
        <v>550</v>
      </c>
      <c r="B1698" s="20">
        <v>36</v>
      </c>
      <c r="C1698" s="16">
        <v>20</v>
      </c>
      <c r="D1698" s="16" t="s">
        <v>2</v>
      </c>
      <c r="E1698" s="17">
        <f>2.268-0.16-0.594-0.306+0.025-0.57-0.218</f>
        <v>0.44499999999999973</v>
      </c>
      <c r="F1698" s="18">
        <f>112700+1000</f>
        <v>113700</v>
      </c>
    </row>
    <row r="1699" spans="1:6" x14ac:dyDescent="0.25">
      <c r="A1699" s="16">
        <v>550</v>
      </c>
      <c r="B1699" s="16">
        <v>36</v>
      </c>
      <c r="C1699" s="16">
        <v>20</v>
      </c>
      <c r="D1699" s="16" t="s">
        <v>10</v>
      </c>
      <c r="E1699" s="17">
        <f>5.157-2.775+0.001-0.53-0.717</f>
        <v>1.1360000000000001</v>
      </c>
      <c r="F1699" s="18">
        <f>112700+1000</f>
        <v>113700</v>
      </c>
    </row>
    <row r="1700" spans="1:6" x14ac:dyDescent="0.25">
      <c r="A1700" s="16">
        <v>550</v>
      </c>
      <c r="B1700" s="16">
        <v>36</v>
      </c>
      <c r="C1700" s="16">
        <v>20</v>
      </c>
      <c r="D1700" s="16" t="s">
        <v>2</v>
      </c>
      <c r="E1700" s="17">
        <v>5.8140000000000001</v>
      </c>
      <c r="F1700" s="18">
        <f>112700+1000</f>
        <v>113700</v>
      </c>
    </row>
    <row r="1701" spans="1:6" x14ac:dyDescent="0.25">
      <c r="A1701" s="16">
        <v>550</v>
      </c>
      <c r="B1701" s="16">
        <v>40</v>
      </c>
      <c r="C1701" s="16">
        <v>20</v>
      </c>
      <c r="D1701" s="16" t="s">
        <v>2</v>
      </c>
      <c r="E1701" s="17">
        <v>5</v>
      </c>
      <c r="F1701" s="18">
        <f>112700+1000</f>
        <v>113700</v>
      </c>
    </row>
    <row r="1702" spans="1:6" x14ac:dyDescent="0.25">
      <c r="A1702" s="16">
        <v>550</v>
      </c>
      <c r="B1702" s="16">
        <v>40</v>
      </c>
      <c r="C1702" s="16" t="s">
        <v>0</v>
      </c>
      <c r="D1702" s="16" t="s">
        <v>10</v>
      </c>
      <c r="E1702" s="17">
        <f>6.043-0.76-0.227</f>
        <v>5.056</v>
      </c>
      <c r="F1702" s="18">
        <f>115700+1000</f>
        <v>116700</v>
      </c>
    </row>
    <row r="1703" spans="1:6" x14ac:dyDescent="0.25">
      <c r="A1703" s="16">
        <v>550</v>
      </c>
      <c r="B1703" s="16">
        <v>40</v>
      </c>
      <c r="C1703" s="16" t="s">
        <v>20</v>
      </c>
      <c r="D1703" s="16" t="s">
        <v>10</v>
      </c>
      <c r="E1703" s="17">
        <v>4.1449999999999996</v>
      </c>
      <c r="F1703" s="18">
        <f>115700+1000</f>
        <v>116700</v>
      </c>
    </row>
    <row r="1704" spans="1:6" x14ac:dyDescent="0.25">
      <c r="A1704" s="16">
        <v>550</v>
      </c>
      <c r="B1704" s="16">
        <v>40</v>
      </c>
      <c r="C1704" s="16" t="s">
        <v>26</v>
      </c>
      <c r="D1704" s="16" t="s">
        <v>27</v>
      </c>
      <c r="E1704" s="17">
        <f>13.815-5.136-1.718</f>
        <v>6.9609999999999985</v>
      </c>
      <c r="F1704" s="18">
        <v>500000</v>
      </c>
    </row>
    <row r="1705" spans="1:6" x14ac:dyDescent="0.25">
      <c r="A1705" s="16">
        <v>550</v>
      </c>
      <c r="B1705" s="16">
        <v>50</v>
      </c>
      <c r="C1705" s="16">
        <v>20</v>
      </c>
      <c r="D1705" s="16" t="s">
        <v>2</v>
      </c>
      <c r="E1705" s="17">
        <f>1.983-0.85-0.961+0.002-0.155</f>
        <v>1.9000000000000045E-2</v>
      </c>
      <c r="F1705" s="18">
        <f>112700+1000</f>
        <v>113700</v>
      </c>
    </row>
    <row r="1706" spans="1:6" x14ac:dyDescent="0.25">
      <c r="A1706" s="16">
        <v>550</v>
      </c>
      <c r="B1706" s="16">
        <v>50</v>
      </c>
      <c r="C1706" s="16">
        <v>20</v>
      </c>
      <c r="D1706" s="16" t="s">
        <v>14</v>
      </c>
      <c r="E1706" s="17">
        <f>15.63-2.337-1.912</f>
        <v>11.381</v>
      </c>
      <c r="F1706" s="18">
        <f>120000+1000</f>
        <v>121000</v>
      </c>
    </row>
    <row r="1707" spans="1:6" x14ac:dyDescent="0.25">
      <c r="A1707" s="16">
        <v>550</v>
      </c>
      <c r="B1707" s="16">
        <v>50</v>
      </c>
      <c r="C1707" s="16">
        <v>20</v>
      </c>
      <c r="D1707" s="16" t="s">
        <v>14</v>
      </c>
      <c r="E1707" s="17">
        <f>10.242-7.498</f>
        <v>2.7440000000000007</v>
      </c>
      <c r="F1707" s="18">
        <f>120000+1000</f>
        <v>121000</v>
      </c>
    </row>
    <row r="1708" spans="1:6" x14ac:dyDescent="0.25">
      <c r="A1708" s="16">
        <v>550</v>
      </c>
      <c r="B1708" s="16">
        <v>50</v>
      </c>
      <c r="C1708" s="16">
        <v>20</v>
      </c>
      <c r="D1708" s="16" t="s">
        <v>14</v>
      </c>
      <c r="E1708" s="17">
        <f>3.053-0.321-1.02-0.943</f>
        <v>0.76899999999999979</v>
      </c>
      <c r="F1708" s="18">
        <f>112700+1000</f>
        <v>113700</v>
      </c>
    </row>
    <row r="1709" spans="1:6" x14ac:dyDescent="0.25">
      <c r="A1709" s="16">
        <v>550</v>
      </c>
      <c r="B1709" s="16">
        <v>50</v>
      </c>
      <c r="C1709" s="16" t="s">
        <v>0</v>
      </c>
      <c r="D1709" s="16" t="s">
        <v>2</v>
      </c>
      <c r="E1709" s="17">
        <f>6.338-3.061-0.432</f>
        <v>2.8450000000000002</v>
      </c>
      <c r="F1709" s="18">
        <f>115700+1000</f>
        <v>116700</v>
      </c>
    </row>
    <row r="1710" spans="1:6" x14ac:dyDescent="0.25">
      <c r="A1710" s="16">
        <v>550</v>
      </c>
      <c r="B1710" s="16">
        <v>70</v>
      </c>
      <c r="C1710" s="16">
        <v>20</v>
      </c>
      <c r="D1710" s="16" t="s">
        <v>14</v>
      </c>
      <c r="E1710" s="17">
        <v>10</v>
      </c>
      <c r="F1710" s="18">
        <f>120000+1000</f>
        <v>121000</v>
      </c>
    </row>
    <row r="1711" spans="1:6" x14ac:dyDescent="0.25">
      <c r="A1711" s="16">
        <v>550</v>
      </c>
      <c r="B1711" s="16">
        <v>70</v>
      </c>
      <c r="C1711" s="16" t="s">
        <v>0</v>
      </c>
      <c r="D1711" s="16" t="s">
        <v>10</v>
      </c>
      <c r="E1711" s="17">
        <f>5.572-1.244-2.786</f>
        <v>1.5420000000000003</v>
      </c>
      <c r="F1711" s="18">
        <f>115700+1000</f>
        <v>116700</v>
      </c>
    </row>
    <row r="1712" spans="1:6" x14ac:dyDescent="0.25">
      <c r="A1712" s="16">
        <v>575</v>
      </c>
      <c r="B1712" s="16">
        <v>40</v>
      </c>
      <c r="C1712" s="16">
        <v>20</v>
      </c>
      <c r="D1712" s="16" t="s">
        <v>10</v>
      </c>
      <c r="E1712" s="17">
        <f>16.835-2.338-0.555-0.581</f>
        <v>13.361000000000001</v>
      </c>
      <c r="F1712" s="18">
        <f>140000+1000</f>
        <v>141000</v>
      </c>
    </row>
    <row r="1713" spans="1:6" x14ac:dyDescent="0.25">
      <c r="A1713" s="16">
        <v>575</v>
      </c>
      <c r="B1713" s="16">
        <v>65</v>
      </c>
      <c r="C1713" s="16" t="s">
        <v>0</v>
      </c>
      <c r="D1713" s="16" t="s">
        <v>10</v>
      </c>
      <c r="E1713" s="17">
        <v>8.34</v>
      </c>
      <c r="F1713" s="18">
        <f>150000+1000</f>
        <v>151000</v>
      </c>
    </row>
    <row r="1714" spans="1:6" x14ac:dyDescent="0.25">
      <c r="A1714" s="16">
        <v>610</v>
      </c>
      <c r="B1714" s="16">
        <v>25</v>
      </c>
      <c r="C1714" s="16" t="s">
        <v>0</v>
      </c>
      <c r="D1714" s="16" t="s">
        <v>2</v>
      </c>
      <c r="E1714" s="17">
        <v>2.8780000000000001</v>
      </c>
      <c r="F1714" s="18">
        <v>249700</v>
      </c>
    </row>
    <row r="1715" spans="1:6" x14ac:dyDescent="0.25">
      <c r="A1715" s="16">
        <v>610</v>
      </c>
      <c r="B1715" s="16">
        <v>30</v>
      </c>
      <c r="C1715" s="16" t="s">
        <v>0</v>
      </c>
      <c r="D1715" s="16" t="s">
        <v>2</v>
      </c>
      <c r="E1715" s="17">
        <f>0.489-0.23</f>
        <v>0.25900000000000001</v>
      </c>
      <c r="F1715" s="18">
        <f>89700+3000+1000</f>
        <v>93700</v>
      </c>
    </row>
    <row r="1716" spans="1:6" x14ac:dyDescent="0.25">
      <c r="A1716" s="16">
        <v>610</v>
      </c>
      <c r="B1716" s="16">
        <v>32</v>
      </c>
      <c r="C1716" s="16" t="s">
        <v>0</v>
      </c>
      <c r="D1716" s="16" t="s">
        <v>10</v>
      </c>
      <c r="E1716" s="17">
        <f>8.686-1.916-0.502-2.86-0.397-0.931</f>
        <v>2.08</v>
      </c>
      <c r="F1716" s="18">
        <f>150000+1000</f>
        <v>151000</v>
      </c>
    </row>
    <row r="1717" spans="1:6" x14ac:dyDescent="0.25">
      <c r="A1717" s="16">
        <v>610</v>
      </c>
      <c r="B1717" s="16">
        <v>32</v>
      </c>
      <c r="C1717" s="16" t="s">
        <v>0</v>
      </c>
      <c r="D1717" s="16" t="s">
        <v>2</v>
      </c>
      <c r="E1717" s="17">
        <f>2.971+2.925</f>
        <v>5.8959999999999999</v>
      </c>
      <c r="F1717" s="18">
        <v>249700</v>
      </c>
    </row>
    <row r="1718" spans="1:6" x14ac:dyDescent="0.25">
      <c r="A1718" s="16">
        <v>610</v>
      </c>
      <c r="B1718" s="16">
        <v>40</v>
      </c>
      <c r="C1718" s="16" t="s">
        <v>0</v>
      </c>
      <c r="D1718" s="16" t="s">
        <v>2</v>
      </c>
      <c r="E1718" s="17">
        <f>3.095+2.982</f>
        <v>6.077</v>
      </c>
      <c r="F1718" s="18">
        <v>249700</v>
      </c>
    </row>
    <row r="1719" spans="1:6" x14ac:dyDescent="0.25">
      <c r="A1719" s="16">
        <v>610</v>
      </c>
      <c r="B1719" s="16">
        <v>50</v>
      </c>
      <c r="C1719" s="16" t="s">
        <v>0</v>
      </c>
      <c r="D1719" s="16" t="s">
        <v>2</v>
      </c>
      <c r="E1719" s="17">
        <f>3.034+3.138</f>
        <v>6.1719999999999997</v>
      </c>
      <c r="F1719" s="18">
        <v>249700</v>
      </c>
    </row>
    <row r="1720" spans="1:6" x14ac:dyDescent="0.25">
      <c r="A1720" s="16">
        <v>630</v>
      </c>
      <c r="B1720" s="16">
        <v>25</v>
      </c>
      <c r="C1720" s="16" t="s">
        <v>11</v>
      </c>
      <c r="D1720" s="16" t="s">
        <v>4</v>
      </c>
      <c r="E1720" s="17">
        <f>8.056-0.329-0.437</f>
        <v>7.2899999999999991</v>
      </c>
      <c r="F1720" s="18">
        <v>199700</v>
      </c>
    </row>
    <row r="1721" spans="1:6" x14ac:dyDescent="0.25">
      <c r="A1721" s="16">
        <v>720</v>
      </c>
      <c r="B1721" s="16">
        <v>16</v>
      </c>
      <c r="C1721" s="16" t="s">
        <v>0</v>
      </c>
      <c r="D1721" s="16" t="s">
        <v>60</v>
      </c>
      <c r="E1721" s="17">
        <f>2.206-0.149</f>
        <v>2.0569999999999999</v>
      </c>
      <c r="F1721" s="18">
        <f>71000+1000</f>
        <v>72000</v>
      </c>
    </row>
    <row r="1723" spans="1:6" ht="28.5" x14ac:dyDescent="0.25">
      <c r="A1723" s="4" t="s">
        <v>55</v>
      </c>
    </row>
    <row r="1724" spans="1:6" ht="26.25" x14ac:dyDescent="0.25">
      <c r="A1724" s="6" t="s">
        <v>56</v>
      </c>
    </row>
    <row r="1725" spans="1:6" ht="26.25" x14ac:dyDescent="0.25">
      <c r="A1725" s="6" t="s">
        <v>63</v>
      </c>
    </row>
    <row r="1726" spans="1:6" ht="26.25" x14ac:dyDescent="0.4">
      <c r="A1726" s="28" t="s">
        <v>94</v>
      </c>
    </row>
  </sheetData>
  <autoFilter ref="A13:F13"/>
  <mergeCells count="6">
    <mergeCell ref="A9:XFD9"/>
    <mergeCell ref="A10:XFD10"/>
    <mergeCell ref="A12:F12"/>
    <mergeCell ref="A11:F11"/>
    <mergeCell ref="D4:F7"/>
    <mergeCell ref="A6:C6"/>
  </mergeCells>
  <hyperlinks>
    <hyperlink ref="A5" r:id="rId1" display="7298699@mail.ru                     icq:666766793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O22"/>
  <sheetViews>
    <sheetView workbookViewId="0">
      <selection activeCell="I36" sqref="I36"/>
    </sheetView>
  </sheetViews>
  <sheetFormatPr defaultColWidth="15.28515625" defaultRowHeight="15" x14ac:dyDescent="0.25"/>
  <cols>
    <col min="1" max="1" width="12.7109375" style="9" customWidth="1"/>
    <col min="2" max="2" width="12.140625" style="9" customWidth="1"/>
    <col min="3" max="3" width="11.28515625" style="9" customWidth="1"/>
    <col min="4" max="4" width="9.7109375" style="9" customWidth="1"/>
    <col min="5" max="5" width="12.42578125" style="9" customWidth="1"/>
    <col min="6" max="6" width="14" style="9" customWidth="1"/>
    <col min="7" max="7" width="14.28515625" style="9" customWidth="1"/>
    <col min="8" max="8" width="13.42578125" style="9" customWidth="1"/>
    <col min="9" max="9" width="14.5703125" style="9" customWidth="1"/>
    <col min="10" max="10" width="14.140625" style="9" customWidth="1"/>
    <col min="11" max="11" width="14" style="9" customWidth="1"/>
    <col min="12" max="12" width="11.5703125" style="9" customWidth="1"/>
    <col min="13" max="13" width="13.28515625" style="9" customWidth="1"/>
    <col min="14" max="14" width="13.42578125" style="9" customWidth="1"/>
    <col min="15" max="15" width="11.140625" style="9" customWidth="1"/>
    <col min="16" max="16384" width="15.28515625" style="9"/>
  </cols>
  <sheetData>
    <row r="2" spans="1:15" ht="20.25" x14ac:dyDescent="0.25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5" ht="15.75" thickBot="1" x14ac:dyDescent="0.3"/>
    <row r="6" spans="1:15" ht="15.75" thickBot="1" x14ac:dyDescent="0.3">
      <c r="A6" s="43" t="s">
        <v>66</v>
      </c>
      <c r="B6" s="45" t="s">
        <v>67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15.75" thickBot="1" x14ac:dyDescent="0.3">
      <c r="A7" s="44"/>
      <c r="B7" s="29" t="s">
        <v>103</v>
      </c>
      <c r="C7" s="29" t="s">
        <v>104</v>
      </c>
      <c r="D7" s="29" t="s">
        <v>105</v>
      </c>
      <c r="E7" s="29" t="s">
        <v>68</v>
      </c>
      <c r="F7" s="29" t="s">
        <v>69</v>
      </c>
      <c r="G7" s="29" t="s">
        <v>70</v>
      </c>
      <c r="H7" s="29" t="s">
        <v>71</v>
      </c>
      <c r="I7" s="29" t="s">
        <v>72</v>
      </c>
      <c r="J7" s="29" t="s">
        <v>73</v>
      </c>
      <c r="K7" s="29" t="s">
        <v>74</v>
      </c>
      <c r="L7" s="29" t="s">
        <v>75</v>
      </c>
      <c r="M7" s="29" t="s">
        <v>76</v>
      </c>
      <c r="N7" s="29" t="s">
        <v>77</v>
      </c>
      <c r="O7" s="29" t="s">
        <v>78</v>
      </c>
    </row>
    <row r="8" spans="1:15" ht="15.75" thickBot="1" x14ac:dyDescent="0.3">
      <c r="A8" s="30" t="s">
        <v>106</v>
      </c>
      <c r="B8" s="12">
        <v>100</v>
      </c>
      <c r="C8" s="13">
        <v>150</v>
      </c>
      <c r="D8" s="13">
        <v>200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31"/>
    </row>
    <row r="9" spans="1:15" ht="15.75" thickBot="1" x14ac:dyDescent="0.3">
      <c r="A9" s="30" t="s">
        <v>107</v>
      </c>
      <c r="B9" s="14"/>
      <c r="C9" s="15"/>
      <c r="D9" s="15"/>
      <c r="E9" s="15">
        <v>200</v>
      </c>
      <c r="F9" s="15">
        <v>250</v>
      </c>
      <c r="G9" s="15">
        <v>300</v>
      </c>
      <c r="H9" s="15">
        <v>400</v>
      </c>
      <c r="I9" s="15"/>
      <c r="J9" s="15"/>
      <c r="K9" s="15"/>
      <c r="L9" s="15"/>
      <c r="M9" s="15"/>
      <c r="N9" s="15"/>
      <c r="O9" s="32"/>
    </row>
    <row r="10" spans="1:15" ht="15.75" thickBot="1" x14ac:dyDescent="0.3">
      <c r="A10" s="30" t="s">
        <v>38</v>
      </c>
      <c r="B10" s="14"/>
      <c r="C10" s="15"/>
      <c r="D10" s="15"/>
      <c r="E10" s="15">
        <v>300</v>
      </c>
      <c r="F10" s="15">
        <v>350</v>
      </c>
      <c r="G10" s="15">
        <v>400</v>
      </c>
      <c r="H10" s="15">
        <v>500</v>
      </c>
      <c r="I10" s="15">
        <v>650</v>
      </c>
      <c r="J10" s="15"/>
      <c r="K10" s="15"/>
      <c r="L10" s="15"/>
      <c r="M10" s="15"/>
      <c r="N10" s="15"/>
      <c r="O10" s="32"/>
    </row>
    <row r="11" spans="1:15" ht="15.75" thickBot="1" x14ac:dyDescent="0.3">
      <c r="A11" s="30" t="s">
        <v>37</v>
      </c>
      <c r="B11" s="14"/>
      <c r="C11" s="15"/>
      <c r="D11" s="15"/>
      <c r="E11" s="15">
        <v>450</v>
      </c>
      <c r="F11" s="15">
        <v>500</v>
      </c>
      <c r="G11" s="15">
        <v>600</v>
      </c>
      <c r="H11" s="15">
        <v>700</v>
      </c>
      <c r="I11" s="15">
        <v>850</v>
      </c>
      <c r="J11" s="15">
        <v>1000</v>
      </c>
      <c r="K11" s="15"/>
      <c r="L11" s="15"/>
      <c r="M11" s="15"/>
      <c r="N11" s="15"/>
      <c r="O11" s="32"/>
    </row>
    <row r="12" spans="1:15" ht="15.75" thickBot="1" x14ac:dyDescent="0.3">
      <c r="A12" s="30" t="s">
        <v>79</v>
      </c>
      <c r="B12" s="14"/>
      <c r="C12" s="15"/>
      <c r="D12" s="15"/>
      <c r="E12" s="15">
        <v>700</v>
      </c>
      <c r="F12" s="15">
        <v>800</v>
      </c>
      <c r="G12" s="15">
        <v>900</v>
      </c>
      <c r="H12" s="15">
        <v>1000</v>
      </c>
      <c r="I12" s="15">
        <v>1100</v>
      </c>
      <c r="J12" s="15">
        <v>1200</v>
      </c>
      <c r="K12" s="15">
        <v>1300</v>
      </c>
      <c r="L12" s="15"/>
      <c r="M12" s="15"/>
      <c r="N12" s="15"/>
      <c r="O12" s="32"/>
    </row>
    <row r="13" spans="1:15" ht="15.75" thickBot="1" x14ac:dyDescent="0.3">
      <c r="A13" s="30" t="s">
        <v>36</v>
      </c>
      <c r="B13" s="14"/>
      <c r="C13" s="15"/>
      <c r="D13" s="15"/>
      <c r="E13" s="15">
        <v>800</v>
      </c>
      <c r="F13" s="15">
        <v>900</v>
      </c>
      <c r="G13" s="15">
        <v>1000</v>
      </c>
      <c r="H13" s="15">
        <v>1100</v>
      </c>
      <c r="I13" s="15">
        <v>1200</v>
      </c>
      <c r="J13" s="15">
        <v>1300</v>
      </c>
      <c r="K13" s="15">
        <v>1500</v>
      </c>
      <c r="L13" s="15">
        <v>1700</v>
      </c>
      <c r="M13" s="15">
        <v>1800</v>
      </c>
      <c r="N13" s="15"/>
      <c r="O13" s="32"/>
    </row>
    <row r="14" spans="1:15" ht="15.75" thickBot="1" x14ac:dyDescent="0.3">
      <c r="A14" s="30" t="s">
        <v>35</v>
      </c>
      <c r="B14" s="14"/>
      <c r="C14" s="15"/>
      <c r="D14" s="15"/>
      <c r="E14" s="15">
        <v>900</v>
      </c>
      <c r="F14" s="15">
        <v>1000</v>
      </c>
      <c r="G14" s="15">
        <v>1200</v>
      </c>
      <c r="H14" s="15">
        <v>1300</v>
      </c>
      <c r="I14" s="15">
        <v>1400</v>
      </c>
      <c r="J14" s="15">
        <v>1500</v>
      </c>
      <c r="K14" s="15">
        <v>1600</v>
      </c>
      <c r="L14" s="15">
        <v>1800</v>
      </c>
      <c r="M14" s="15">
        <v>1900</v>
      </c>
      <c r="N14" s="15"/>
      <c r="O14" s="32"/>
    </row>
    <row r="15" spans="1:15" ht="15.75" thickBot="1" x14ac:dyDescent="0.3">
      <c r="A15" s="30" t="s">
        <v>34</v>
      </c>
      <c r="B15" s="14"/>
      <c r="C15" s="15"/>
      <c r="D15" s="15"/>
      <c r="E15" s="15">
        <v>1000</v>
      </c>
      <c r="F15" s="15">
        <v>1100</v>
      </c>
      <c r="G15" s="15">
        <v>1300</v>
      </c>
      <c r="H15" s="15">
        <v>1400</v>
      </c>
      <c r="I15" s="15">
        <v>1500</v>
      </c>
      <c r="J15" s="15">
        <v>1600</v>
      </c>
      <c r="K15" s="15">
        <v>1700</v>
      </c>
      <c r="L15" s="15">
        <v>1800</v>
      </c>
      <c r="M15" s="15">
        <v>2000</v>
      </c>
      <c r="N15" s="15"/>
      <c r="O15" s="32"/>
    </row>
    <row r="16" spans="1:15" ht="15.75" thickBot="1" x14ac:dyDescent="0.3">
      <c r="A16" s="30" t="s">
        <v>33</v>
      </c>
      <c r="B16" s="14"/>
      <c r="C16" s="15"/>
      <c r="D16" s="15"/>
      <c r="E16" s="15">
        <v>1200</v>
      </c>
      <c r="F16" s="15">
        <v>1400</v>
      </c>
      <c r="G16" s="15">
        <v>1600</v>
      </c>
      <c r="H16" s="15">
        <v>1800</v>
      </c>
      <c r="I16" s="15">
        <v>2100</v>
      </c>
      <c r="J16" s="15">
        <v>2300</v>
      </c>
      <c r="K16" s="15">
        <v>2400</v>
      </c>
      <c r="L16" s="15">
        <v>2500</v>
      </c>
      <c r="M16" s="15">
        <v>2700</v>
      </c>
      <c r="N16" s="15">
        <v>3000</v>
      </c>
      <c r="O16" s="32"/>
    </row>
    <row r="17" spans="1:15" ht="15.75" thickBot="1" x14ac:dyDescent="0.3">
      <c r="A17" s="30" t="s">
        <v>32</v>
      </c>
      <c r="B17" s="14"/>
      <c r="C17" s="15"/>
      <c r="D17" s="15"/>
      <c r="E17" s="15">
        <v>1400</v>
      </c>
      <c r="F17" s="15">
        <v>1600</v>
      </c>
      <c r="G17" s="15">
        <v>1900</v>
      </c>
      <c r="H17" s="15">
        <v>2200</v>
      </c>
      <c r="I17" s="15">
        <v>2400</v>
      </c>
      <c r="J17" s="15">
        <v>2500</v>
      </c>
      <c r="K17" s="15">
        <v>2600</v>
      </c>
      <c r="L17" s="15">
        <v>2700</v>
      </c>
      <c r="M17" s="15">
        <v>2900</v>
      </c>
      <c r="N17" s="15">
        <v>3200</v>
      </c>
      <c r="O17" s="32">
        <v>3500</v>
      </c>
    </row>
    <row r="18" spans="1:15" ht="15.75" thickBot="1" x14ac:dyDescent="0.3">
      <c r="A18" s="30" t="s">
        <v>31</v>
      </c>
      <c r="B18" s="14"/>
      <c r="C18" s="15"/>
      <c r="D18" s="15"/>
      <c r="E18" s="15">
        <v>1500</v>
      </c>
      <c r="F18" s="15">
        <v>1800</v>
      </c>
      <c r="G18" s="15">
        <v>2100</v>
      </c>
      <c r="H18" s="15">
        <v>2400</v>
      </c>
      <c r="I18" s="15">
        <v>2700</v>
      </c>
      <c r="J18" s="15">
        <v>3000</v>
      </c>
      <c r="K18" s="15">
        <v>3300</v>
      </c>
      <c r="L18" s="15">
        <v>3600</v>
      </c>
      <c r="M18" s="15">
        <v>3900</v>
      </c>
      <c r="N18" s="15">
        <v>4200</v>
      </c>
      <c r="O18" s="32">
        <v>4500</v>
      </c>
    </row>
    <row r="19" spans="1:15" ht="15.75" thickBot="1" x14ac:dyDescent="0.3">
      <c r="A19" s="30" t="s">
        <v>80</v>
      </c>
      <c r="B19" s="14"/>
      <c r="C19" s="15"/>
      <c r="D19" s="15"/>
      <c r="E19" s="15">
        <v>1700</v>
      </c>
      <c r="F19" s="15">
        <v>2000</v>
      </c>
      <c r="G19" s="15">
        <v>2300</v>
      </c>
      <c r="H19" s="15">
        <v>2700</v>
      </c>
      <c r="I19" s="15">
        <v>3100</v>
      </c>
      <c r="J19" s="15">
        <v>3500</v>
      </c>
      <c r="K19" s="15">
        <v>4000</v>
      </c>
      <c r="L19" s="15">
        <v>4400</v>
      </c>
      <c r="M19" s="15">
        <v>4800</v>
      </c>
      <c r="N19" s="15">
        <v>5200</v>
      </c>
      <c r="O19" s="32">
        <v>5600</v>
      </c>
    </row>
    <row r="20" spans="1:15" ht="15.75" thickBot="1" x14ac:dyDescent="0.3">
      <c r="A20" s="30" t="s">
        <v>81</v>
      </c>
      <c r="B20" s="14"/>
      <c r="C20" s="15"/>
      <c r="D20" s="15"/>
      <c r="E20" s="15">
        <v>1900</v>
      </c>
      <c r="F20" s="15">
        <v>2300</v>
      </c>
      <c r="G20" s="15">
        <v>2700</v>
      </c>
      <c r="H20" s="15">
        <v>3100</v>
      </c>
      <c r="I20" s="15">
        <v>3500</v>
      </c>
      <c r="J20" s="15">
        <v>3900</v>
      </c>
      <c r="K20" s="15">
        <v>4300</v>
      </c>
      <c r="L20" s="15">
        <v>4700</v>
      </c>
      <c r="M20" s="15">
        <v>5200</v>
      </c>
      <c r="N20" s="15">
        <v>5700</v>
      </c>
      <c r="O20" s="32">
        <v>6100</v>
      </c>
    </row>
    <row r="21" spans="1:15" ht="15.75" thickBot="1" x14ac:dyDescent="0.3">
      <c r="A21" s="30" t="s">
        <v>82</v>
      </c>
      <c r="B21" s="14"/>
      <c r="C21" s="15"/>
      <c r="D21" s="15"/>
      <c r="E21" s="15">
        <v>2100</v>
      </c>
      <c r="F21" s="15">
        <v>2500</v>
      </c>
      <c r="G21" s="15">
        <v>2900</v>
      </c>
      <c r="H21" s="15">
        <v>3300</v>
      </c>
      <c r="I21" s="15">
        <v>3700</v>
      </c>
      <c r="J21" s="15">
        <v>4100</v>
      </c>
      <c r="K21" s="15">
        <v>4500</v>
      </c>
      <c r="L21" s="15">
        <v>4900</v>
      </c>
      <c r="M21" s="15">
        <v>5500</v>
      </c>
      <c r="N21" s="15">
        <v>6000</v>
      </c>
      <c r="O21" s="32">
        <v>6500</v>
      </c>
    </row>
    <row r="22" spans="1:15" ht="15.75" thickBot="1" x14ac:dyDescent="0.3">
      <c r="A22" s="30" t="s">
        <v>83</v>
      </c>
      <c r="B22" s="33"/>
      <c r="C22" s="34"/>
      <c r="D22" s="34"/>
      <c r="E22" s="34">
        <v>2500</v>
      </c>
      <c r="F22" s="34">
        <v>3000</v>
      </c>
      <c r="G22" s="34">
        <v>3500</v>
      </c>
      <c r="H22" s="34">
        <v>4000</v>
      </c>
      <c r="I22" s="34">
        <v>4500</v>
      </c>
      <c r="J22" s="34">
        <v>5000</v>
      </c>
      <c r="K22" s="34">
        <v>5500</v>
      </c>
      <c r="L22" s="34">
        <v>6000</v>
      </c>
      <c r="M22" s="34">
        <v>6500</v>
      </c>
      <c r="N22" s="34">
        <v>7000</v>
      </c>
      <c r="O22" s="35">
        <v>7500</v>
      </c>
    </row>
  </sheetData>
  <mergeCells count="3">
    <mergeCell ref="A2:K2"/>
    <mergeCell ref="A6:A7"/>
    <mergeCell ref="B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W18" sqref="W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Наличие с ценой</vt:lpstr>
      <vt:lpstr>Прайс на резку труб</vt:lpstr>
      <vt:lpstr>СХЕМА ПРОЕЗДА НА СКЛАД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2017-05-29T06:22:10Z</dcterms:modified>
</cp:coreProperties>
</file>